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215" windowWidth="12570" windowHeight="12240" activeTab="3"/>
  </bookViews>
  <sheets>
    <sheet name="Master" sheetId="1" r:id="rId1"/>
    <sheet name="team1" sheetId="2" r:id="rId2"/>
    <sheet name="team2" sheetId="3" r:id="rId3"/>
    <sheet name="team3" sheetId="4" r:id="rId4"/>
    <sheet name="team4" sheetId="5" r:id="rId5"/>
    <sheet name="Jnr" sheetId="6" r:id="rId6"/>
    <sheet name="Inter" sheetId="7" r:id="rId7"/>
    <sheet name="Snr" sheetId="8" r:id="rId8"/>
    <sheet name="Final Result" sheetId="9" r:id="rId9"/>
    <sheet name="Music" sheetId="10" r:id="rId10"/>
    <sheet name="Lookup" sheetId="11" r:id="rId11"/>
  </sheets>
  <definedNames>
    <definedName name="_xlnm.Print_Area" localSheetId="8">'Final Result'!$A$1:$E$22</definedName>
    <definedName name="_xlnm.Print_Area" localSheetId="6">'Inter'!$A$1:$N$37</definedName>
    <definedName name="_xlnm.Print_Area" localSheetId="5">'Jnr'!$A$1:$N$37</definedName>
    <definedName name="_xlnm.Print_Area" localSheetId="0">'Master'!$A$1:$G$29</definedName>
    <definedName name="_xlnm.Print_Area" localSheetId="9">'Music'!$A$1:$F$88</definedName>
    <definedName name="_xlnm.Print_Area" localSheetId="7">'Snr'!$A$1:$N$37</definedName>
    <definedName name="_xlnm.Print_Area" localSheetId="1">'team1'!$A$1:$I$38</definedName>
    <definedName name="_xlnm.Print_Area" localSheetId="2">'team2'!$A$1:$I$38</definedName>
    <definedName name="_xlnm.Print_Area" localSheetId="3">'team3'!$A$1:$I$38</definedName>
    <definedName name="_xlnm.Print_Area" localSheetId="4">'team4'!$A$1:$I$38</definedName>
  </definedNames>
  <calcPr fullCalcOnLoad="1"/>
</workbook>
</file>

<file path=xl/comments2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comments5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sharedStrings.xml><?xml version="1.0" encoding="utf-8"?>
<sst xmlns="http://schemas.openxmlformats.org/spreadsheetml/2006/main" count="1147" uniqueCount="218">
  <si>
    <t>Team Letter</t>
  </si>
  <si>
    <t>A</t>
  </si>
  <si>
    <t>B</t>
  </si>
  <si>
    <t>C</t>
  </si>
  <si>
    <t>D</t>
  </si>
  <si>
    <t>Region</t>
  </si>
  <si>
    <t>Judges Decision</t>
  </si>
  <si>
    <t>Team Points</t>
  </si>
  <si>
    <t>Total Raw Marks this Dance</t>
  </si>
  <si>
    <t>v</t>
  </si>
  <si>
    <t>Determination</t>
  </si>
  <si>
    <t>X</t>
  </si>
  <si>
    <t>Result</t>
  </si>
  <si>
    <t>Final Result</t>
  </si>
  <si>
    <t>1 Total raw points awarded by judges</t>
  </si>
  <si>
    <t>2 Total number of ice dancers in team</t>
  </si>
  <si>
    <t>3 Total deductions</t>
  </si>
  <si>
    <t>Adjusted points (1 + 2 - 3)</t>
  </si>
  <si>
    <t>Raw Points</t>
  </si>
  <si>
    <t>Deduction</t>
  </si>
  <si>
    <t>Deduction calculation - raw point shown only where deduction is applied.</t>
  </si>
  <si>
    <t>Junior Competition – mark sheet</t>
  </si>
  <si>
    <t>Intermediate Competition – mark sheet</t>
  </si>
  <si>
    <t>Senior Competition – mark sheet</t>
  </si>
  <si>
    <t>Points</t>
  </si>
  <si>
    <t>Place</t>
  </si>
  <si>
    <t>Overall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</si>
  <si>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</si>
  <si>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</si>
  <si>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</si>
  <si>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</si>
  <si>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</si>
  <si>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</si>
  <si>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</si>
  <si>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</si>
  <si>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</si>
  <si>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</si>
  <si>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</si>
  <si>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</si>
  <si>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</si>
  <si>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</si>
  <si>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</si>
  <si>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</si>
  <si>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</si>
  <si>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</si>
  <si>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</si>
  <si>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</si>
  <si>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</si>
  <si>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repeat</t>
  </si>
  <si>
    <t>Junior 1</t>
  </si>
  <si>
    <t>skater</t>
  </si>
  <si>
    <t>couple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</si>
  <si>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</si>
  <si>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</si>
  <si>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</si>
  <si>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</si>
  <si>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</si>
  <si>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</si>
  <si>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</si>
  <si>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</si>
  <si>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</si>
  <si>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A v D</t>
  </si>
  <si>
    <t>B v C</t>
  </si>
  <si>
    <t>D v C</t>
  </si>
  <si>
    <t>D v B</t>
  </si>
  <si>
    <t>C v A</t>
  </si>
  <si>
    <t>Master Sheet</t>
  </si>
  <si>
    <t>Junior</t>
  </si>
  <si>
    <t>Intermediate</t>
  </si>
  <si>
    <t>Senior</t>
  </si>
  <si>
    <t>Teams</t>
  </si>
  <si>
    <t>Heat</t>
  </si>
  <si>
    <t>Junior Competition</t>
  </si>
  <si>
    <t>Intermediate Competition</t>
  </si>
  <si>
    <t>Senior Competition</t>
  </si>
  <si>
    <t>3 Sequences</t>
  </si>
  <si>
    <t>2 Circuits</t>
  </si>
  <si>
    <t>Sequences</t>
  </si>
  <si>
    <t>Y</t>
  </si>
  <si>
    <r>
      <t>6</t>
    </r>
    <r>
      <rPr>
        <b/>
        <sz val="18"/>
        <rFont val="Arial"/>
        <family val="2"/>
      </rPr>
      <t xml:space="preserve"> % deduction </t>
    </r>
    <r>
      <rPr>
        <b/>
        <sz val="18"/>
        <rFont val="Webdings"/>
        <family val="1"/>
      </rPr>
      <t>6</t>
    </r>
  </si>
  <si>
    <t>Team</t>
  </si>
  <si>
    <t>y</t>
  </si>
  <si>
    <t>values</t>
  </si>
  <si>
    <t>total</t>
  </si>
  <si>
    <t>working area</t>
  </si>
  <si>
    <t xml:space="preserve">list </t>
  </si>
  <si>
    <t>points dropped</t>
  </si>
  <si>
    <t>Win = 6 points, Draw = 4 points each, Lose = 2 points</t>
  </si>
  <si>
    <t>Point Deductions Lookup Table</t>
  </si>
  <si>
    <t>Team 1</t>
  </si>
  <si>
    <t>Team 2</t>
  </si>
  <si>
    <t>Team 3</t>
  </si>
  <si>
    <t>Team 4</t>
  </si>
  <si>
    <t>Team Name</t>
  </si>
  <si>
    <t>Couple 2</t>
  </si>
  <si>
    <t>Couple 3</t>
  </si>
  <si>
    <t>Couple 1</t>
  </si>
  <si>
    <t>Junior % Deductions</t>
  </si>
  <si>
    <t>Intermediate % Deductions</t>
  </si>
  <si>
    <t>Senior % Deductions</t>
  </si>
  <si>
    <t>Tab</t>
  </si>
  <si>
    <t>4:30 - 8:00 pm</t>
  </si>
  <si>
    <t>South East</t>
  </si>
  <si>
    <t>North</t>
  </si>
  <si>
    <t>South West</t>
  </si>
  <si>
    <t>South Central</t>
  </si>
  <si>
    <t>x</t>
  </si>
  <si>
    <t>4 Agreed adjustment points (e.g. penalty, bonus)</t>
  </si>
  <si>
    <t>Referee</t>
  </si>
  <si>
    <t>Judges</t>
  </si>
  <si>
    <t>J1</t>
  </si>
  <si>
    <t>J2</t>
  </si>
  <si>
    <t>J3</t>
  </si>
  <si>
    <t>not used</t>
  </si>
  <si>
    <t>team1</t>
  </si>
  <si>
    <t>team2</t>
  </si>
  <si>
    <t>team3</t>
  </si>
  <si>
    <t>team4</t>
  </si>
  <si>
    <t>Adjusted points (1 + 2 - 3 + 4)</t>
  </si>
  <si>
    <t>Result Lookup Table</t>
  </si>
  <si>
    <t>Junior Result</t>
  </si>
  <si>
    <t>Intermediate Result</t>
  </si>
  <si>
    <t>Senior Result</t>
  </si>
  <si>
    <t>Streatham</t>
  </si>
  <si>
    <t>18th October 2014</t>
  </si>
  <si>
    <t>Riverside Rhumba</t>
  </si>
  <si>
    <t>Ten Fox</t>
  </si>
  <si>
    <t>14 Step</t>
  </si>
  <si>
    <t>Blues</t>
  </si>
  <si>
    <t>Westminster Waltz</t>
  </si>
  <si>
    <t>Felicia Heidebrecht</t>
  </si>
  <si>
    <t>Alex Heidebrecht</t>
  </si>
  <si>
    <t>Alex Chester</t>
  </si>
  <si>
    <t>Patric Nguyen</t>
  </si>
  <si>
    <t>Chloe Hardy</t>
  </si>
  <si>
    <t>Barrie Haigh</t>
  </si>
  <si>
    <t>Lesley Ryan</t>
  </si>
  <si>
    <t>Bob Smith</t>
  </si>
  <si>
    <t>Jan Straker</t>
  </si>
  <si>
    <t>Colin Hyde-Harrison</t>
  </si>
  <si>
    <t>Suzannah Schultz</t>
  </si>
  <si>
    <t>John Hemsley</t>
  </si>
  <si>
    <t>Catherine Kempt</t>
  </si>
  <si>
    <t>Robert Smyth</t>
  </si>
  <si>
    <t>Hana Connor</t>
  </si>
  <si>
    <t>Brian Connor</t>
  </si>
  <si>
    <t>Sashico Kobayashi</t>
  </si>
  <si>
    <t>Hiroki Kobayashi</t>
  </si>
  <si>
    <t>Olivia Palmer</t>
  </si>
  <si>
    <t>Thomas Shelbourn</t>
  </si>
  <si>
    <t>Hannah Shelbourn</t>
  </si>
  <si>
    <t>Maddie Prentice</t>
  </si>
  <si>
    <t>Roz Plant</t>
  </si>
  <si>
    <t>Anna</t>
  </si>
  <si>
    <t>Nick</t>
  </si>
  <si>
    <t>Randal</t>
  </si>
  <si>
    <t>Fiona</t>
  </si>
  <si>
    <t>Linda</t>
  </si>
  <si>
    <t>Allen</t>
  </si>
  <si>
    <t>Helen</t>
  </si>
  <si>
    <t>Ben</t>
  </si>
  <si>
    <t>Simon</t>
  </si>
  <si>
    <t>Aileen</t>
  </si>
  <si>
    <t>Peter</t>
  </si>
  <si>
    <t>Gabriel</t>
  </si>
  <si>
    <t>Ian</t>
  </si>
  <si>
    <t>Eva</t>
  </si>
  <si>
    <t>Dan</t>
  </si>
  <si>
    <t>Jane</t>
  </si>
  <si>
    <t>John</t>
  </si>
  <si>
    <t>Alicia</t>
  </si>
  <si>
    <t>D May / L Duncton</t>
  </si>
  <si>
    <t>Katherine Howick</t>
  </si>
  <si>
    <t>Toby Palmer</t>
  </si>
  <si>
    <t>Abbi Peacock</t>
  </si>
  <si>
    <t>Eddie Loghran</t>
  </si>
  <si>
    <t>Victoria Wynn-Clarke</t>
  </si>
  <si>
    <t>David Ponsford</t>
  </si>
  <si>
    <t>Helen Tait</t>
  </si>
  <si>
    <t>Gordon Hamilton</t>
  </si>
  <si>
    <t>Emma-Jane Godwin</t>
  </si>
  <si>
    <t>David May</t>
  </si>
  <si>
    <t>Charlotte Man</t>
  </si>
  <si>
    <t>Rebekah Lanfear</t>
  </si>
  <si>
    <t>Megan Pierson</t>
  </si>
  <si>
    <t>Harvey Smart</t>
  </si>
  <si>
    <t>Eleanor Parsley</t>
  </si>
  <si>
    <t>Nadia Colbourne</t>
  </si>
  <si>
    <t>John Alderman</t>
  </si>
  <si>
    <t>Sharon Reher</t>
  </si>
  <si>
    <t>Marc Peacock</t>
  </si>
  <si>
    <t>Anna Rayner</t>
  </si>
  <si>
    <t>Annie MacKeeman</t>
  </si>
  <si>
    <t>Suzanne Edler</t>
  </si>
  <si>
    <t>Rob Aldred</t>
  </si>
  <si>
    <t>Andrew Hudson</t>
  </si>
  <si>
    <t>Golden Skaters Waltz</t>
  </si>
  <si>
    <t>Kathryn Hudson</t>
  </si>
  <si>
    <t>Paul Gough</t>
  </si>
  <si>
    <t>Alison Grasmeder</t>
  </si>
  <si>
    <t>David Owen</t>
  </si>
  <si>
    <t>Harry Henderson</t>
  </si>
  <si>
    <t>Katherine Gillibrand</t>
  </si>
  <si>
    <t>Chris Harper</t>
  </si>
  <si>
    <t>Frank Mullin</t>
  </si>
  <si>
    <t>Celia Coombes</t>
  </si>
  <si>
    <t>Alice Williamson</t>
  </si>
  <si>
    <t>Rowan Wills</t>
  </si>
  <si>
    <t>Nick Browne</t>
  </si>
  <si>
    <t>Donna Roberts</t>
  </si>
  <si>
    <t>Katrina Haddock</t>
  </si>
  <si>
    <t>Paul Haddock</t>
  </si>
  <si>
    <t>Alicie Williamson</t>
  </si>
  <si>
    <t>Natasha Leese</t>
  </si>
  <si>
    <t>Sean Parry</t>
  </si>
  <si>
    <t>Roz</t>
  </si>
  <si>
    <t>Gabriele</t>
  </si>
  <si>
    <t>Emma Hutcheson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</si>
</sst>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0.#"/>
    <numFmt numFmtId="173" formatCode="#.#"/>
    <numFmt numFmtId="174" formatCode="[$-809]d\ mmmm\ yyyy"/>
    <numFmt numFmtId="175" formatCode="[$-409]h:mmam/pm"/>
    <numFmt numFmtId="176" formatCode="[$€-2]\ #,##0.00_);[Red]\([$€-2]\ #,##0.00\)"/>
  </numFmts>
  <fonts count="68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4"/>
      <name val="Tahoma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b/>
      <sz val="20"/>
      <name val="Tahoma"/>
      <family val="2"/>
    </font>
    <font>
      <sz val="14"/>
      <color indexed="9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 vertical="center"/>
    </xf>
    <xf numFmtId="167" fontId="3" fillId="0" borderId="28" xfId="0" applyNumberFormat="1" applyFont="1" applyBorder="1" applyAlignment="1">
      <alignment horizontal="center" vertical="center"/>
    </xf>
    <xf numFmtId="167" fontId="3" fillId="0" borderId="29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/>
    </xf>
    <xf numFmtId="167" fontId="3" fillId="0" borderId="32" xfId="0" applyNumberFormat="1" applyFont="1" applyBorder="1" applyAlignment="1">
      <alignment horizontal="center" vertical="center"/>
    </xf>
    <xf numFmtId="167" fontId="3" fillId="0" borderId="33" xfId="0" applyNumberFormat="1" applyFont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34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31" xfId="0" applyFont="1" applyBorder="1" applyAlignment="1">
      <alignment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9" fillId="0" borderId="35" xfId="0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0" fontId="29" fillId="0" borderId="25" xfId="0" applyFont="1" applyBorder="1" applyAlignment="1">
      <alignment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67" fontId="29" fillId="22" borderId="11" xfId="0" applyNumberFormat="1" applyFont="1" applyFill="1" applyBorder="1" applyAlignment="1">
      <alignment horizontal="center" vertical="center"/>
    </xf>
    <xf numFmtId="167" fontId="29" fillId="22" borderId="34" xfId="0" applyNumberFormat="1" applyFont="1" applyFill="1" applyBorder="1" applyAlignment="1">
      <alignment horizontal="center" vertical="center"/>
    </xf>
    <xf numFmtId="0" fontId="29" fillId="22" borderId="36" xfId="0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0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31" xfId="57" applyFont="1" applyBorder="1" applyAlignment="1">
      <alignment horizontal="center" vertical="center"/>
      <protection/>
    </xf>
    <xf numFmtId="0" fontId="11" fillId="0" borderId="32" xfId="57" applyFont="1" applyBorder="1" applyAlignment="1">
      <alignment horizontal="center" vertical="center"/>
      <protection/>
    </xf>
    <xf numFmtId="0" fontId="11" fillId="0" borderId="33" xfId="57" applyFont="1" applyBorder="1" applyAlignment="1">
      <alignment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34" xfId="57" applyFont="1" applyBorder="1" applyAlignment="1">
      <alignment vertical="center"/>
      <protection/>
    </xf>
    <xf numFmtId="0" fontId="11" fillId="0" borderId="35" xfId="57" applyFont="1" applyBorder="1" applyAlignment="1">
      <alignment horizontal="center" vertical="center"/>
      <protection/>
    </xf>
    <xf numFmtId="0" fontId="11" fillId="0" borderId="36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vertical="center"/>
      <protection/>
    </xf>
    <xf numFmtId="0" fontId="11" fillId="0" borderId="31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11" fillId="0" borderId="34" xfId="57" applyFont="1" applyFill="1" applyBorder="1" applyAlignment="1">
      <alignment vertical="center"/>
      <protection/>
    </xf>
    <xf numFmtId="0" fontId="11" fillId="0" borderId="35" xfId="57" applyFont="1" applyFill="1" applyBorder="1" applyAlignment="1">
      <alignment horizontal="center" vertical="center"/>
      <protection/>
    </xf>
    <xf numFmtId="0" fontId="11" fillId="0" borderId="39" xfId="57" applyFont="1" applyFill="1" applyBorder="1" applyAlignment="1">
      <alignment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36" xfId="57" applyFont="1" applyFill="1" applyBorder="1" applyAlignment="1">
      <alignment horizontal="center"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41" fillId="0" borderId="0" xfId="57" applyFont="1" applyAlignment="1" applyProtection="1">
      <alignment horizontal="left" vertical="center"/>
      <protection/>
    </xf>
    <xf numFmtId="0" fontId="42" fillId="0" borderId="0" xfId="57" applyFont="1" applyAlignment="1" applyProtection="1">
      <alignment vertical="center"/>
      <protection/>
    </xf>
    <xf numFmtId="0" fontId="43" fillId="0" borderId="0" xfId="57" applyFont="1" applyAlignment="1" applyProtection="1">
      <alignment vertical="center"/>
      <protection/>
    </xf>
    <xf numFmtId="0" fontId="41" fillId="0" borderId="0" xfId="57" applyFont="1" applyAlignment="1" applyProtection="1">
      <alignment horizontal="center" vertical="center"/>
      <protection/>
    </xf>
    <xf numFmtId="0" fontId="11" fillId="0" borderId="0" xfId="57" applyFont="1" applyAlignment="1" applyProtection="1">
      <alignment vertical="center"/>
      <protection/>
    </xf>
    <xf numFmtId="0" fontId="11" fillId="0" borderId="0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0" fillId="0" borderId="40" xfId="57" applyFont="1" applyBorder="1" applyAlignment="1" applyProtection="1">
      <alignment vertical="center"/>
      <protection/>
    </xf>
    <xf numFmtId="0" fontId="10" fillId="0" borderId="11" xfId="57" applyFont="1" applyBorder="1" applyAlignment="1" applyProtection="1">
      <alignment vertical="center"/>
      <protection/>
    </xf>
    <xf numFmtId="0" fontId="11" fillId="0" borderId="11" xfId="57" applyFont="1" applyBorder="1" applyAlignment="1" applyProtection="1">
      <alignment horizontal="left" vertical="center"/>
      <protection/>
    </xf>
    <xf numFmtId="0" fontId="11" fillId="0" borderId="41" xfId="57" applyFont="1" applyBorder="1" applyAlignment="1" applyProtection="1">
      <alignment horizontal="center" vertical="center"/>
      <protection/>
    </xf>
    <xf numFmtId="0" fontId="11" fillId="0" borderId="26" xfId="57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vertical="center"/>
      <protection/>
    </xf>
    <xf numFmtId="0" fontId="11" fillId="0" borderId="0" xfId="57" applyFont="1" applyBorder="1" applyAlignment="1" applyProtection="1">
      <alignment horizontal="right" vertical="center"/>
      <protection/>
    </xf>
    <xf numFmtId="0" fontId="20" fillId="0" borderId="42" xfId="57" applyFont="1" applyBorder="1" applyAlignment="1" applyProtection="1">
      <alignment horizontal="left" vertical="center"/>
      <protection/>
    </xf>
    <xf numFmtId="0" fontId="20" fillId="0" borderId="42" xfId="57" applyFont="1" applyBorder="1" applyAlignment="1" applyProtection="1">
      <alignment vertical="center"/>
      <protection/>
    </xf>
    <xf numFmtId="0" fontId="11" fillId="0" borderId="43" xfId="57" applyFont="1" applyBorder="1" applyAlignment="1" applyProtection="1">
      <alignment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1" fillId="26" borderId="23" xfId="57" applyFont="1" applyFill="1" applyBorder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11" fillId="26" borderId="11" xfId="57" applyFont="1" applyFill="1" applyBorder="1" applyAlignment="1" applyProtection="1">
      <alignment vertical="center"/>
      <protection/>
    </xf>
    <xf numFmtId="0" fontId="11" fillId="24" borderId="11" xfId="57" applyFont="1" applyFill="1" applyBorder="1" applyAlignment="1" applyProtection="1">
      <alignment horizontal="center" vertical="center"/>
      <protection locked="0"/>
    </xf>
    <xf numFmtId="0" fontId="39" fillId="0" borderId="0" xfId="57" applyFont="1" applyBorder="1" applyAlignment="1" applyProtection="1">
      <alignment horizontal="center" vertical="center"/>
      <protection hidden="1"/>
    </xf>
    <xf numFmtId="0" fontId="13" fillId="0" borderId="0" xfId="57" applyFont="1" applyAlignment="1" applyProtection="1">
      <alignment vertical="center"/>
      <protection/>
    </xf>
    <xf numFmtId="0" fontId="13" fillId="0" borderId="0" xfId="57" applyFont="1" applyAlignment="1" applyProtection="1">
      <alignment horizontal="center" vertical="center"/>
      <protection/>
    </xf>
    <xf numFmtId="0" fontId="13" fillId="0" borderId="44" xfId="57" applyFont="1" applyBorder="1" applyAlignment="1" applyProtection="1">
      <alignment vertical="center"/>
      <protection/>
    </xf>
    <xf numFmtId="0" fontId="13" fillId="0" borderId="44" xfId="57" applyFont="1" applyBorder="1" applyAlignment="1" applyProtection="1">
      <alignment horizontal="center" vertical="center"/>
      <protection/>
    </xf>
    <xf numFmtId="0" fontId="14" fillId="0" borderId="42" xfId="57" applyFont="1" applyBorder="1" applyAlignment="1" applyProtection="1">
      <alignment horizontal="left" vertical="center"/>
      <protection/>
    </xf>
    <xf numFmtId="0" fontId="14" fillId="0" borderId="42" xfId="57" applyFont="1" applyBorder="1" applyAlignment="1" applyProtection="1">
      <alignment vertical="center"/>
      <protection/>
    </xf>
    <xf numFmtId="0" fontId="11" fillId="0" borderId="42" xfId="57" applyFont="1" applyBorder="1" applyAlignment="1" applyProtection="1">
      <alignment horizontal="left" vertical="center"/>
      <protection/>
    </xf>
    <xf numFmtId="0" fontId="11" fillId="0" borderId="42" xfId="57" applyFont="1" applyBorder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" fillId="0" borderId="0" xfId="57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42" fillId="0" borderId="0" xfId="57" applyFont="1" applyAlignment="1">
      <alignment vertical="center"/>
      <protection/>
    </xf>
    <xf numFmtId="0" fontId="42" fillId="0" borderId="0" xfId="57" applyFont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167" fontId="3" fillId="0" borderId="47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6" fillId="24" borderId="0" xfId="57" applyFont="1" applyFill="1" applyBorder="1" applyAlignment="1" applyProtection="1">
      <alignment vertical="center"/>
      <protection locked="0"/>
    </xf>
    <xf numFmtId="0" fontId="1" fillId="0" borderId="0" xfId="57" applyFont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1" fillId="0" borderId="0" xfId="57" applyFont="1" applyBorder="1" applyAlignment="1" applyProtection="1">
      <alignment vertical="center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49" fontId="6" fillId="24" borderId="0" xfId="57" applyNumberFormat="1" applyFont="1" applyFill="1" applyBorder="1" applyAlignment="1" applyProtection="1">
      <alignment horizontal="left" vertical="center"/>
      <protection locked="0"/>
    </xf>
    <xf numFmtId="20" fontId="6" fillId="24" borderId="0" xfId="57" applyNumberFormat="1" applyFont="1" applyFill="1" applyBorder="1" applyAlignment="1" applyProtection="1">
      <alignment vertical="center"/>
      <protection locked="0"/>
    </xf>
    <xf numFmtId="0" fontId="26" fillId="0" borderId="0" xfId="57" applyFont="1" applyFill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horizontal="left" vertical="center"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6" fillId="24" borderId="0" xfId="57" applyFont="1" applyFill="1" applyBorder="1" applyAlignment="1" applyProtection="1">
      <alignment horizontal="center" vertical="center"/>
      <protection locked="0"/>
    </xf>
    <xf numFmtId="0" fontId="36" fillId="0" borderId="0" xfId="57" applyFont="1" applyAlignment="1" applyProtection="1">
      <alignment vertical="center"/>
      <protection/>
    </xf>
    <xf numFmtId="0" fontId="27" fillId="0" borderId="0" xfId="57" applyFont="1" applyFill="1" applyBorder="1" applyAlignment="1" applyProtection="1">
      <alignment vertical="center"/>
      <protection/>
    </xf>
    <xf numFmtId="0" fontId="15" fillId="0" borderId="0" xfId="57" applyFont="1" applyAlignment="1" applyProtection="1">
      <alignment vertical="center"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7" fillId="0" borderId="0" xfId="57" applyFont="1" applyAlignment="1" applyProtection="1">
      <alignment horizontal="center" vertical="center"/>
      <protection/>
    </xf>
    <xf numFmtId="0" fontId="6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center" vertical="center"/>
      <protection/>
    </xf>
    <xf numFmtId="0" fontId="20" fillId="0" borderId="60" xfId="57" applyFont="1" applyBorder="1" applyAlignment="1">
      <alignment horizontal="left" vertical="center"/>
      <protection/>
    </xf>
    <xf numFmtId="0" fontId="20" fillId="0" borderId="42" xfId="57" applyFont="1" applyBorder="1" applyAlignment="1">
      <alignment vertical="center"/>
      <protection/>
    </xf>
    <xf numFmtId="0" fontId="20" fillId="0" borderId="43" xfId="57" applyFont="1" applyBorder="1" applyAlignment="1">
      <alignment vertical="center"/>
      <protection/>
    </xf>
    <xf numFmtId="0" fontId="14" fillId="0" borderId="60" xfId="57" applyFont="1" applyBorder="1" applyAlignment="1">
      <alignment horizontal="left" vertical="center"/>
      <protection/>
    </xf>
    <xf numFmtId="0" fontId="14" fillId="0" borderId="42" xfId="57" applyFont="1" applyBorder="1" applyAlignment="1">
      <alignment vertical="center"/>
      <protection/>
    </xf>
    <xf numFmtId="0" fontId="14" fillId="0" borderId="43" xfId="57" applyFont="1" applyBorder="1" applyAlignment="1">
      <alignment vertical="center"/>
      <protection/>
    </xf>
    <xf numFmtId="0" fontId="11" fillId="0" borderId="60" xfId="57" applyFont="1" applyBorder="1" applyAlignment="1">
      <alignment horizontal="left" vertical="center"/>
      <protection/>
    </xf>
    <xf numFmtId="0" fontId="11" fillId="0" borderId="42" xfId="57" applyFont="1" applyBorder="1" applyAlignment="1">
      <alignment vertical="center"/>
      <protection/>
    </xf>
    <xf numFmtId="0" fontId="11" fillId="0" borderId="43" xfId="57" applyFont="1" applyBorder="1" applyAlignment="1">
      <alignment vertical="center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22" borderId="14" xfId="0" applyFont="1" applyFill="1" applyBorder="1" applyAlignment="1" applyProtection="1">
      <alignment horizontal="center" vertical="center" wrapText="1"/>
      <protection/>
    </xf>
    <xf numFmtId="0" fontId="3" fillId="22" borderId="45" xfId="0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3" fillId="0" borderId="61" xfId="57" applyFont="1" applyBorder="1" applyAlignment="1" applyProtection="1">
      <alignment horizontal="right" vertical="center"/>
      <protection/>
    </xf>
    <xf numFmtId="0" fontId="0" fillId="0" borderId="61" xfId="0" applyBorder="1" applyAlignment="1">
      <alignment horizontal="right" vertical="center"/>
    </xf>
    <xf numFmtId="0" fontId="13" fillId="0" borderId="0" xfId="57" applyFont="1" applyBorder="1" applyAlignment="1" applyProtection="1">
      <alignment vertical="center"/>
      <protection/>
    </xf>
    <xf numFmtId="0" fontId="46" fillId="0" borderId="0" xfId="57" applyFont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vertical="center"/>
      <protection/>
    </xf>
    <xf numFmtId="0" fontId="13" fillId="0" borderId="62" xfId="57" applyFont="1" applyBorder="1" applyAlignment="1" applyProtection="1">
      <alignment vertical="center"/>
      <protection/>
    </xf>
    <xf numFmtId="0" fontId="13" fillId="0" borderId="19" xfId="57" applyFont="1" applyBorder="1" applyAlignment="1" applyProtection="1">
      <alignment vertical="center"/>
      <protection/>
    </xf>
    <xf numFmtId="0" fontId="11" fillId="0" borderId="62" xfId="57" applyFont="1" applyBorder="1" applyAlignment="1" applyProtection="1">
      <alignment vertical="center"/>
      <protection/>
    </xf>
    <xf numFmtId="0" fontId="45" fillId="0" borderId="62" xfId="57" applyFont="1" applyBorder="1" applyAlignment="1" applyProtection="1">
      <alignment horizontal="right" vertical="center"/>
      <protection/>
    </xf>
    <xf numFmtId="0" fontId="45" fillId="0" borderId="63" xfId="57" applyFont="1" applyBorder="1" applyAlignment="1" applyProtection="1">
      <alignment horizontal="right" vertical="center"/>
      <protection/>
    </xf>
    <xf numFmtId="0" fontId="46" fillId="0" borderId="64" xfId="57" applyFont="1" applyBorder="1" applyAlignment="1" applyProtection="1">
      <alignment vertical="center"/>
      <protection/>
    </xf>
    <xf numFmtId="0" fontId="13" fillId="0" borderId="65" xfId="57" applyFont="1" applyBorder="1" applyAlignment="1" applyProtection="1">
      <alignment vertical="center"/>
      <protection/>
    </xf>
    <xf numFmtId="0" fontId="11" fillId="0" borderId="28" xfId="57" applyFont="1" applyBorder="1" applyAlignment="1" applyProtection="1">
      <alignment horizontal="center" vertical="center"/>
      <protection/>
    </xf>
    <xf numFmtId="0" fontId="11" fillId="0" borderId="17" xfId="57" applyFont="1" applyBorder="1" applyAlignment="1" applyProtection="1">
      <alignment horizontal="center"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0" fontId="3" fillId="22" borderId="25" xfId="0" applyFont="1" applyFill="1" applyBorder="1" applyAlignment="1" applyProtection="1">
      <alignment horizontal="center" vertical="center"/>
      <protection/>
    </xf>
    <xf numFmtId="0" fontId="43" fillId="0" borderId="0" xfId="57" applyFont="1" applyAlignment="1" applyProtection="1">
      <alignment horizontal="center" vertical="center"/>
      <protection/>
    </xf>
    <xf numFmtId="0" fontId="11" fillId="0" borderId="54" xfId="57" applyFont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" fillId="0" borderId="62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42" fillId="0" borderId="64" xfId="0" applyFont="1" applyBorder="1" applyAlignment="1">
      <alignment/>
    </xf>
    <xf numFmtId="0" fontId="42" fillId="0" borderId="65" xfId="0" applyFont="1" applyBorder="1" applyAlignment="1">
      <alignment horizontal="center"/>
    </xf>
    <xf numFmtId="0" fontId="42" fillId="0" borderId="6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42" fillId="22" borderId="31" xfId="0" applyFont="1" applyFill="1" applyBorder="1" applyAlignment="1">
      <alignment horizontal="center"/>
    </xf>
    <xf numFmtId="0" fontId="42" fillId="22" borderId="33" xfId="0" applyFont="1" applyFill="1" applyBorder="1" applyAlignment="1">
      <alignment horizontal="center"/>
    </xf>
    <xf numFmtId="0" fontId="42" fillId="22" borderId="32" xfId="0" applyFont="1" applyFill="1" applyBorder="1" applyAlignment="1">
      <alignment horizontal="center"/>
    </xf>
    <xf numFmtId="0" fontId="42" fillId="22" borderId="67" xfId="0" applyFont="1" applyFill="1" applyBorder="1" applyAlignment="1">
      <alignment horizontal="center"/>
    </xf>
    <xf numFmtId="0" fontId="42" fillId="22" borderId="25" xfId="0" applyFont="1" applyFill="1" applyBorder="1" applyAlignment="1">
      <alignment horizontal="center"/>
    </xf>
    <xf numFmtId="0" fontId="42" fillId="22" borderId="34" xfId="0" applyFont="1" applyFill="1" applyBorder="1" applyAlignment="1">
      <alignment horizontal="center"/>
    </xf>
    <xf numFmtId="0" fontId="42" fillId="22" borderId="11" xfId="0" applyFont="1" applyFill="1" applyBorder="1" applyAlignment="1">
      <alignment horizontal="center"/>
    </xf>
    <xf numFmtId="0" fontId="42" fillId="22" borderId="35" xfId="0" applyFont="1" applyFill="1" applyBorder="1" applyAlignment="1">
      <alignment horizontal="center"/>
    </xf>
    <xf numFmtId="0" fontId="42" fillId="22" borderId="39" xfId="0" applyFont="1" applyFill="1" applyBorder="1" applyAlignment="1">
      <alignment horizontal="center"/>
    </xf>
    <xf numFmtId="0" fontId="42" fillId="22" borderId="36" xfId="0" applyFont="1" applyFill="1" applyBorder="1" applyAlignment="1">
      <alignment horizontal="center"/>
    </xf>
    <xf numFmtId="0" fontId="3" fillId="22" borderId="68" xfId="0" applyFont="1" applyFill="1" applyBorder="1" applyAlignment="1" applyProtection="1">
      <alignment horizontal="center" vertical="center" wrapText="1"/>
      <protection/>
    </xf>
    <xf numFmtId="0" fontId="3" fillId="22" borderId="69" xfId="0" applyFont="1" applyFill="1" applyBorder="1" applyAlignment="1" applyProtection="1">
      <alignment horizontal="center" vertical="center" wrapText="1"/>
      <protection/>
    </xf>
    <xf numFmtId="0" fontId="3" fillId="22" borderId="11" xfId="0" applyFont="1" applyFill="1" applyBorder="1" applyAlignment="1" applyProtection="1">
      <alignment horizontal="center" vertical="center"/>
      <protection/>
    </xf>
    <xf numFmtId="0" fontId="3" fillId="22" borderId="34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2" fillId="22" borderId="20" xfId="0" applyFont="1" applyFill="1" applyBorder="1" applyAlignment="1">
      <alignment horizontal="center"/>
    </xf>
    <xf numFmtId="0" fontId="42" fillId="22" borderId="21" xfId="0" applyFont="1" applyFill="1" applyBorder="1" applyAlignment="1">
      <alignment horizontal="center"/>
    </xf>
    <xf numFmtId="0" fontId="42" fillId="22" borderId="22" xfId="0" applyFont="1" applyFill="1" applyBorder="1" applyAlignment="1">
      <alignment horizontal="center"/>
    </xf>
    <xf numFmtId="0" fontId="42" fillId="22" borderId="70" xfId="0" applyFont="1" applyFill="1" applyBorder="1" applyAlignment="1">
      <alignment horizontal="center"/>
    </xf>
    <xf numFmtId="0" fontId="42" fillId="22" borderId="71" xfId="0" applyFont="1" applyFill="1" applyBorder="1" applyAlignment="1">
      <alignment horizontal="center"/>
    </xf>
    <xf numFmtId="0" fontId="3" fillId="22" borderId="35" xfId="0" applyFont="1" applyFill="1" applyBorder="1" applyAlignment="1" applyProtection="1">
      <alignment horizontal="center" vertical="center" wrapText="1"/>
      <protection/>
    </xf>
    <xf numFmtId="0" fontId="42" fillId="22" borderId="0" xfId="57" applyFont="1" applyFill="1" applyBorder="1" applyAlignment="1">
      <alignment horizontal="left" vertical="center"/>
      <protection/>
    </xf>
    <xf numFmtId="0" fontId="42" fillId="22" borderId="0" xfId="57" applyFont="1" applyFill="1" applyAlignment="1">
      <alignment vertical="center"/>
      <protection/>
    </xf>
    <xf numFmtId="49" fontId="6" fillId="24" borderId="0" xfId="57" applyNumberFormat="1" applyFont="1" applyFill="1" applyBorder="1" applyAlignment="1" applyProtection="1">
      <alignment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11" fillId="22" borderId="0" xfId="57" applyFont="1" applyFill="1" applyBorder="1" applyAlignment="1">
      <alignment horizontal="left" vertical="center"/>
      <protection/>
    </xf>
    <xf numFmtId="0" fontId="11" fillId="22" borderId="0" xfId="57" applyFont="1" applyFill="1" applyAlignment="1">
      <alignment vertical="center"/>
      <protection/>
    </xf>
    <xf numFmtId="0" fontId="11" fillId="22" borderId="0" xfId="57" applyFont="1" applyFill="1" applyBorder="1" applyAlignment="1">
      <alignment vertical="center"/>
      <protection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1" fillId="24" borderId="26" xfId="57" applyFont="1" applyFill="1" applyBorder="1" applyAlignment="1" applyProtection="1">
      <alignment horizontal="center" vertical="center"/>
      <protection locked="0"/>
    </xf>
    <xf numFmtId="0" fontId="11" fillId="22" borderId="67" xfId="57" applyFont="1" applyFill="1" applyBorder="1" applyAlignment="1" applyProtection="1">
      <alignment horizontal="center" vertical="center"/>
      <protection/>
    </xf>
    <xf numFmtId="0" fontId="11" fillId="22" borderId="70" xfId="57" applyFont="1" applyFill="1" applyBorder="1" applyAlignment="1" applyProtection="1">
      <alignment horizontal="center" vertical="center"/>
      <protection/>
    </xf>
    <xf numFmtId="0" fontId="11" fillId="22" borderId="71" xfId="57" applyFont="1" applyFill="1" applyBorder="1" applyAlignment="1" applyProtection="1">
      <alignment horizontal="center" vertical="center"/>
      <protection/>
    </xf>
    <xf numFmtId="167" fontId="3" fillId="7" borderId="25" xfId="0" applyNumberFormat="1" applyFont="1" applyFill="1" applyBorder="1" applyAlignment="1" applyProtection="1">
      <alignment horizontal="center" vertical="center"/>
      <protection locked="0"/>
    </xf>
    <xf numFmtId="167" fontId="3" fillId="7" borderId="26" xfId="0" applyNumberFormat="1" applyFont="1" applyFill="1" applyBorder="1" applyAlignment="1" applyProtection="1">
      <alignment horizontal="center" vertical="center"/>
      <protection locked="0"/>
    </xf>
    <xf numFmtId="167" fontId="3" fillId="7" borderId="27" xfId="0" applyNumberFormat="1" applyFont="1" applyFill="1" applyBorder="1" applyAlignment="1" applyProtection="1">
      <alignment horizontal="center" vertical="center"/>
      <protection locked="0"/>
    </xf>
    <xf numFmtId="0" fontId="1" fillId="24" borderId="0" xfId="57" applyFont="1" applyFill="1" applyBorder="1" applyAlignment="1" applyProtection="1">
      <alignment horizontal="center" vertical="center"/>
      <protection locked="0"/>
    </xf>
    <xf numFmtId="0" fontId="18" fillId="0" borderId="60" xfId="57" applyFont="1" applyBorder="1" applyAlignment="1" applyProtection="1">
      <alignment vertical="center"/>
      <protection/>
    </xf>
    <xf numFmtId="0" fontId="9" fillId="24" borderId="26" xfId="57" applyFill="1" applyBorder="1" applyAlignment="1" applyProtection="1">
      <alignment vertical="center"/>
      <protection locked="0"/>
    </xf>
    <xf numFmtId="0" fontId="28" fillId="0" borderId="0" xfId="57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24" borderId="40" xfId="57" applyFont="1" applyFill="1" applyBorder="1" applyAlignment="1" applyProtection="1">
      <alignment horizontal="left" vertical="center"/>
      <protection locked="0"/>
    </xf>
    <xf numFmtId="0" fontId="0" fillId="24" borderId="41" xfId="0" applyFill="1" applyBorder="1" applyAlignment="1" applyProtection="1">
      <alignment vertical="center"/>
      <protection locked="0"/>
    </xf>
    <xf numFmtId="0" fontId="11" fillId="24" borderId="55" xfId="57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vertical="center"/>
      <protection locked="0"/>
    </xf>
    <xf numFmtId="0" fontId="10" fillId="0" borderId="60" xfId="57" applyFont="1" applyBorder="1" applyAlignment="1" applyProtection="1">
      <alignment vertical="center"/>
      <protection/>
    </xf>
    <xf numFmtId="0" fontId="9" fillId="0" borderId="42" xfId="57" applyFont="1" applyBorder="1" applyAlignment="1" applyProtection="1">
      <alignment vertical="center"/>
      <protection/>
    </xf>
    <xf numFmtId="0" fontId="11" fillId="0" borderId="73" xfId="57" applyFont="1" applyBorder="1" applyAlignment="1" applyProtection="1">
      <alignment horizontal="center" vertical="center"/>
      <protection/>
    </xf>
    <xf numFmtId="0" fontId="11" fillId="0" borderId="58" xfId="57" applyFont="1" applyBorder="1" applyAlignment="1" applyProtection="1">
      <alignment horizontal="center" vertical="center"/>
      <protection/>
    </xf>
    <xf numFmtId="0" fontId="11" fillId="0" borderId="74" xfId="57" applyFont="1" applyBorder="1" applyAlignment="1" applyProtection="1">
      <alignment horizontal="center" vertical="center"/>
      <protection/>
    </xf>
    <xf numFmtId="0" fontId="11" fillId="24" borderId="57" xfId="57" applyFont="1" applyFill="1" applyBorder="1" applyAlignment="1" applyProtection="1">
      <alignment horizontal="left" vertical="center"/>
      <protection locked="0"/>
    </xf>
    <xf numFmtId="0" fontId="0" fillId="24" borderId="58" xfId="0" applyFill="1" applyBorder="1" applyAlignment="1" applyProtection="1">
      <alignment vertical="center"/>
      <protection locked="0"/>
    </xf>
    <xf numFmtId="0" fontId="12" fillId="0" borderId="60" xfId="57" applyFont="1" applyBorder="1" applyAlignment="1" applyProtection="1">
      <alignment vertical="center"/>
      <protection/>
    </xf>
    <xf numFmtId="0" fontId="21" fillId="0" borderId="42" xfId="57" applyFont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 locked="0"/>
    </xf>
    <xf numFmtId="0" fontId="11" fillId="24" borderId="56" xfId="57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1" fillId="0" borderId="40" xfId="57" applyFont="1" applyBorder="1" applyAlignment="1" applyProtection="1">
      <alignment horizontal="left" vertical="center"/>
      <protection/>
    </xf>
    <xf numFmtId="0" fontId="9" fillId="0" borderId="41" xfId="57" applyFont="1" applyBorder="1" applyAlignment="1" applyProtection="1">
      <alignment vertical="center"/>
      <protection/>
    </xf>
    <xf numFmtId="0" fontId="9" fillId="0" borderId="26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1" fillId="24" borderId="40" xfId="57" applyFont="1" applyFill="1" applyBorder="1" applyAlignment="1" applyProtection="1">
      <alignment vertical="center"/>
      <protection locked="0"/>
    </xf>
    <xf numFmtId="0" fontId="9" fillId="24" borderId="41" xfId="57" applyFill="1" applyBorder="1" applyAlignment="1" applyProtection="1">
      <alignment vertical="center"/>
      <protection locked="0"/>
    </xf>
    <xf numFmtId="0" fontId="19" fillId="0" borderId="42" xfId="57" applyFont="1" applyBorder="1" applyAlignment="1" applyProtection="1">
      <alignment vertical="center"/>
      <protection/>
    </xf>
    <xf numFmtId="0" fontId="0" fillId="24" borderId="75" xfId="0" applyFill="1" applyBorder="1" applyAlignment="1" applyProtection="1">
      <alignment vertical="center"/>
      <protection locked="0"/>
    </xf>
    <xf numFmtId="0" fontId="11" fillId="24" borderId="26" xfId="57" applyFont="1" applyFill="1" applyBorder="1" applyAlignment="1" applyProtection="1">
      <alignment horizontal="left" vertical="center"/>
      <protection locked="0"/>
    </xf>
    <xf numFmtId="0" fontId="11" fillId="24" borderId="27" xfId="57" applyFont="1" applyFill="1" applyBorder="1" applyAlignment="1" applyProtection="1">
      <alignment horizontal="left" vertical="center"/>
      <protection locked="0"/>
    </xf>
    <xf numFmtId="0" fontId="2" fillId="0" borderId="76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4" fillId="0" borderId="7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76" xfId="0" applyFont="1" applyFill="1" applyBorder="1" applyAlignment="1" applyProtection="1">
      <alignment vertical="center" wrapText="1"/>
      <protection/>
    </xf>
    <xf numFmtId="0" fontId="0" fillId="0" borderId="72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63" xfId="0" applyFont="1" applyBorder="1" applyAlignment="1">
      <alignment vertical="center" wrapText="1"/>
    </xf>
    <xf numFmtId="0" fontId="42" fillId="0" borderId="64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2" fillId="0" borderId="60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0" xfId="0" applyFont="1" applyBorder="1" applyAlignment="1">
      <alignment horizontal="left" vertical="center"/>
    </xf>
    <xf numFmtId="0" fontId="0" fillId="25" borderId="10" xfId="0" applyFont="1" applyFill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79" xfId="0" applyFont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25" borderId="10" xfId="0" applyFill="1" applyBorder="1" applyAlignment="1">
      <alignment vertical="center"/>
    </xf>
    <xf numFmtId="0" fontId="0" fillId="25" borderId="78" xfId="0" applyFill="1" applyBorder="1" applyAlignment="1">
      <alignment vertical="center"/>
    </xf>
    <xf numFmtId="0" fontId="0" fillId="25" borderId="66" xfId="0" applyFill="1" applyBorder="1" applyAlignment="1">
      <alignment vertical="center"/>
    </xf>
    <xf numFmtId="0" fontId="0" fillId="25" borderId="78" xfId="0" applyFill="1" applyBorder="1" applyAlignment="1">
      <alignment horizontal="center" vertical="center"/>
    </xf>
    <xf numFmtId="0" fontId="0" fillId="25" borderId="66" xfId="0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4" fillId="0" borderId="4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4" fillId="0" borderId="76" xfId="0" applyFont="1" applyFill="1" applyBorder="1" applyAlignment="1" applyProtection="1">
      <alignment vertical="center" wrapText="1"/>
      <protection/>
    </xf>
    <xf numFmtId="0" fontId="25" fillId="0" borderId="72" xfId="0" applyFont="1" applyFill="1" applyBorder="1" applyAlignment="1" applyProtection="1">
      <alignment vertical="center" wrapText="1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0" fontId="2" fillId="0" borderId="73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0" fillId="0" borderId="64" xfId="0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24" fillId="0" borderId="72" xfId="0" applyFont="1" applyFill="1" applyBorder="1" applyAlignment="1" applyProtection="1">
      <alignment vertical="center" wrapText="1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2" fillId="0" borderId="76" xfId="0" applyFont="1" applyFill="1" applyBorder="1" applyAlignment="1" applyProtection="1">
      <alignment vertical="center" wrapText="1"/>
      <protection/>
    </xf>
    <xf numFmtId="0" fontId="0" fillId="0" borderId="72" xfId="0" applyFill="1" applyBorder="1" applyAlignment="1" applyProtection="1">
      <alignment vertical="center" wrapText="1"/>
      <protection/>
    </xf>
    <xf numFmtId="0" fontId="0" fillId="0" borderId="38" xfId="0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44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7" fillId="0" borderId="0" xfId="57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1" fillId="0" borderId="81" xfId="57" applyFont="1" applyBorder="1" applyAlignment="1">
      <alignment horizontal="center" vertical="center"/>
      <protection/>
    </xf>
    <xf numFmtId="0" fontId="0" fillId="0" borderId="8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1" fillId="0" borderId="81" xfId="57" applyFont="1" applyFill="1" applyBorder="1" applyAlignment="1">
      <alignment horizontal="center" vertical="center"/>
      <protection/>
    </xf>
    <xf numFmtId="0" fontId="38" fillId="0" borderId="0" xfId="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8" xfId="0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9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DL final team and music 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7">
      <selection activeCell="A29" sqref="A29"/>
    </sheetView>
  </sheetViews>
  <sheetFormatPr defaultColWidth="11.421875" defaultRowHeight="12.75"/>
  <cols>
    <col min="1" max="1" width="12.8515625" style="206" customWidth="1"/>
    <col min="2" max="2" width="28.00390625" style="206" bestFit="1" customWidth="1"/>
    <col min="3" max="3" width="10.28125" style="209" customWidth="1"/>
    <col min="4" max="6" width="5.7109375" style="206" customWidth="1"/>
    <col min="7" max="7" width="18.28125" style="206" bestFit="1" customWidth="1"/>
    <col min="8" max="8" width="26.00390625" style="206" customWidth="1"/>
    <col min="9" max="9" width="15.57421875" style="206" customWidth="1"/>
    <col min="10" max="16384" width="11.421875" style="206" customWidth="1"/>
  </cols>
  <sheetData>
    <row r="1" spans="1:7" s="190" customFormat="1" ht="19.5" customHeight="1">
      <c r="A1" s="308" t="s">
        <v>66</v>
      </c>
      <c r="B1" s="309"/>
      <c r="C1" s="309"/>
      <c r="D1" s="309"/>
      <c r="E1" s="309"/>
      <c r="F1" s="309"/>
      <c r="G1" s="309"/>
    </row>
    <row r="2" spans="1:7" s="190" customFormat="1" ht="19.5" customHeight="1">
      <c r="A2" s="191"/>
      <c r="B2" s="96"/>
      <c r="C2" s="208"/>
      <c r="D2" s="96"/>
      <c r="E2" s="96"/>
      <c r="F2" s="96"/>
      <c r="G2" s="192"/>
    </row>
    <row r="3" spans="1:7" s="190" customFormat="1" ht="19.5" customHeight="1">
      <c r="A3" s="191" t="s">
        <v>27</v>
      </c>
      <c r="B3" s="188" t="s">
        <v>123</v>
      </c>
      <c r="C3" s="204"/>
      <c r="D3" s="193"/>
      <c r="E3" s="193"/>
      <c r="F3" s="193"/>
      <c r="G3" s="96"/>
    </row>
    <row r="4" spans="1:7" s="190" customFormat="1" ht="19.5" customHeight="1">
      <c r="A4" s="191" t="s">
        <v>28</v>
      </c>
      <c r="B4" s="194" t="s">
        <v>124</v>
      </c>
      <c r="C4" s="204"/>
      <c r="D4" s="193"/>
      <c r="E4" s="193"/>
      <c r="F4" s="193"/>
      <c r="G4" s="96"/>
    </row>
    <row r="5" spans="1:7" s="190" customFormat="1" ht="19.5" customHeight="1">
      <c r="A5" s="191" t="s">
        <v>29</v>
      </c>
      <c r="B5" s="195" t="s">
        <v>101</v>
      </c>
      <c r="C5" s="204"/>
      <c r="D5" s="193"/>
      <c r="E5" s="193"/>
      <c r="F5" s="193"/>
      <c r="G5" s="96"/>
    </row>
    <row r="6" spans="1:7" s="190" customFormat="1" ht="19.5" customHeight="1">
      <c r="A6" s="191"/>
      <c r="B6" s="96"/>
      <c r="C6" s="310" t="s">
        <v>30</v>
      </c>
      <c r="D6" s="311"/>
      <c r="E6" s="311"/>
      <c r="F6" s="311"/>
      <c r="G6" s="311"/>
    </row>
    <row r="7" spans="1:7" s="190" customFormat="1" ht="19.5" customHeight="1">
      <c r="A7" s="196" t="s">
        <v>72</v>
      </c>
      <c r="B7" s="96"/>
      <c r="C7" s="208"/>
      <c r="D7" s="96"/>
      <c r="E7" s="189" t="s">
        <v>31</v>
      </c>
      <c r="F7" s="96"/>
      <c r="G7" s="189" t="s">
        <v>77</v>
      </c>
    </row>
    <row r="8" spans="1:7" s="190" customFormat="1" ht="19.5" customHeight="1">
      <c r="A8" s="191"/>
      <c r="B8" s="197"/>
      <c r="C8" s="189" t="s">
        <v>32</v>
      </c>
      <c r="D8" s="198" t="s">
        <v>33</v>
      </c>
      <c r="E8" s="198" t="s">
        <v>34</v>
      </c>
      <c r="F8" s="198" t="s">
        <v>35</v>
      </c>
      <c r="G8" s="96"/>
    </row>
    <row r="9" spans="1:8" s="190" customFormat="1" ht="19.5" customHeight="1">
      <c r="A9" s="191" t="s">
        <v>36</v>
      </c>
      <c r="B9" s="188" t="s">
        <v>196</v>
      </c>
      <c r="C9" s="199"/>
      <c r="D9" s="199"/>
      <c r="E9" s="199"/>
      <c r="F9" s="199"/>
      <c r="G9" s="188" t="s">
        <v>37</v>
      </c>
      <c r="H9" s="200" t="s">
        <v>42</v>
      </c>
    </row>
    <row r="10" spans="1:8" s="190" customFormat="1" ht="19.5" customHeight="1">
      <c r="A10" s="191" t="s">
        <v>38</v>
      </c>
      <c r="B10" s="188" t="s">
        <v>125</v>
      </c>
      <c r="C10" s="199"/>
      <c r="D10" s="199"/>
      <c r="E10" s="199"/>
      <c r="F10" s="199"/>
      <c r="G10" s="188" t="s">
        <v>37</v>
      </c>
      <c r="H10" s="200" t="s">
        <v>37</v>
      </c>
    </row>
    <row r="11" spans="1:8" s="190" customFormat="1" ht="19.5" customHeight="1">
      <c r="A11" s="96"/>
      <c r="B11" s="96"/>
      <c r="C11" s="208"/>
      <c r="D11" s="96"/>
      <c r="E11" s="96"/>
      <c r="F11" s="96"/>
      <c r="G11" s="96"/>
      <c r="H11" s="200" t="s">
        <v>75</v>
      </c>
    </row>
    <row r="12" spans="1:8" s="190" customFormat="1" ht="19.5" customHeight="1">
      <c r="A12" s="96"/>
      <c r="B12" s="96"/>
      <c r="C12" s="208"/>
      <c r="D12" s="96"/>
      <c r="E12" s="96"/>
      <c r="F12" s="96"/>
      <c r="G12" s="96"/>
      <c r="H12" s="200" t="s">
        <v>39</v>
      </c>
    </row>
    <row r="13" spans="1:8" s="190" customFormat="1" ht="19.5" customHeight="1">
      <c r="A13" s="201" t="s">
        <v>73</v>
      </c>
      <c r="B13" s="96"/>
      <c r="C13" s="208"/>
      <c r="D13" s="96"/>
      <c r="E13" s="189" t="s">
        <v>31</v>
      </c>
      <c r="F13" s="96"/>
      <c r="G13" s="189" t="s">
        <v>77</v>
      </c>
      <c r="H13" s="200" t="s">
        <v>76</v>
      </c>
    </row>
    <row r="14" spans="1:8" s="190" customFormat="1" ht="19.5" customHeight="1">
      <c r="A14" s="191"/>
      <c r="B14" s="197"/>
      <c r="C14" s="189" t="s">
        <v>32</v>
      </c>
      <c r="D14" s="198" t="s">
        <v>33</v>
      </c>
      <c r="E14" s="198" t="s">
        <v>34</v>
      </c>
      <c r="F14" s="198" t="s">
        <v>35</v>
      </c>
      <c r="G14" s="96"/>
      <c r="H14" s="202"/>
    </row>
    <row r="15" spans="1:8" s="190" customFormat="1" ht="19.5" customHeight="1">
      <c r="A15" s="191" t="s">
        <v>36</v>
      </c>
      <c r="B15" s="188" t="s">
        <v>126</v>
      </c>
      <c r="C15" s="199"/>
      <c r="D15" s="199"/>
      <c r="E15" s="199"/>
      <c r="F15" s="199"/>
      <c r="G15" s="188" t="s">
        <v>37</v>
      </c>
      <c r="H15" s="202"/>
    </row>
    <row r="16" spans="1:8" s="190" customFormat="1" ht="19.5" customHeight="1">
      <c r="A16" s="191" t="s">
        <v>38</v>
      </c>
      <c r="B16" s="188" t="s">
        <v>127</v>
      </c>
      <c r="C16" s="199"/>
      <c r="D16" s="199"/>
      <c r="E16" s="199"/>
      <c r="F16" s="199"/>
      <c r="G16" s="188" t="s">
        <v>37</v>
      </c>
      <c r="H16" s="202"/>
    </row>
    <row r="17" spans="1:8" s="190" customFormat="1" ht="19.5" customHeight="1">
      <c r="A17" s="96"/>
      <c r="B17" s="96"/>
      <c r="C17" s="208"/>
      <c r="D17" s="96"/>
      <c r="E17" s="96"/>
      <c r="F17" s="96"/>
      <c r="G17" s="96"/>
      <c r="H17" s="202"/>
    </row>
    <row r="18" spans="1:8" s="190" customFormat="1" ht="19.5" customHeight="1">
      <c r="A18" s="96"/>
      <c r="B18" s="96"/>
      <c r="C18" s="208"/>
      <c r="D18" s="96"/>
      <c r="E18" s="96"/>
      <c r="F18" s="96"/>
      <c r="G18" s="96"/>
      <c r="H18" s="202"/>
    </row>
    <row r="19" spans="1:7" s="190" customFormat="1" ht="19.5" customHeight="1">
      <c r="A19" s="203" t="s">
        <v>74</v>
      </c>
      <c r="B19" s="96"/>
      <c r="C19" s="208"/>
      <c r="D19" s="96"/>
      <c r="E19" s="189" t="s">
        <v>31</v>
      </c>
      <c r="F19" s="96"/>
      <c r="G19" s="189" t="s">
        <v>77</v>
      </c>
    </row>
    <row r="20" spans="1:7" s="190" customFormat="1" ht="19.5" customHeight="1">
      <c r="A20" s="191"/>
      <c r="B20" s="197"/>
      <c r="C20" s="189" t="s">
        <v>32</v>
      </c>
      <c r="D20" s="198" t="s">
        <v>33</v>
      </c>
      <c r="E20" s="198" t="s">
        <v>34</v>
      </c>
      <c r="F20" s="198" t="s">
        <v>35</v>
      </c>
      <c r="G20" s="96"/>
    </row>
    <row r="21" spans="1:8" s="190" customFormat="1" ht="19.5" customHeight="1">
      <c r="A21" s="191" t="s">
        <v>36</v>
      </c>
      <c r="B21" s="188" t="s">
        <v>128</v>
      </c>
      <c r="C21" s="199"/>
      <c r="D21" s="199"/>
      <c r="E21" s="199"/>
      <c r="F21" s="199"/>
      <c r="G21" s="188" t="s">
        <v>37</v>
      </c>
      <c r="H21" s="202"/>
    </row>
    <row r="22" spans="1:8" s="190" customFormat="1" ht="19.5" customHeight="1">
      <c r="A22" s="191" t="s">
        <v>38</v>
      </c>
      <c r="B22" s="188" t="s">
        <v>129</v>
      </c>
      <c r="C22" s="199"/>
      <c r="D22" s="199"/>
      <c r="E22" s="199"/>
      <c r="F22" s="199"/>
      <c r="G22" s="188" t="s">
        <v>37</v>
      </c>
      <c r="H22" s="202"/>
    </row>
    <row r="23" spans="1:8" s="190" customFormat="1" ht="19.5" customHeight="1">
      <c r="A23" s="96"/>
      <c r="B23" s="193"/>
      <c r="C23" s="204"/>
      <c r="D23" s="204"/>
      <c r="E23" s="204"/>
      <c r="F23" s="204"/>
      <c r="G23" s="193"/>
      <c r="H23" s="202"/>
    </row>
    <row r="24" spans="1:8" s="190" customFormat="1" ht="19.5" customHeight="1">
      <c r="A24" s="96"/>
      <c r="B24" s="193"/>
      <c r="C24" s="204"/>
      <c r="D24" s="204"/>
      <c r="E24" s="204"/>
      <c r="F24" s="204"/>
      <c r="G24" s="96"/>
      <c r="H24" s="202"/>
    </row>
    <row r="25" spans="1:7" s="190" customFormat="1" ht="19.5" customHeight="1">
      <c r="A25" s="189" t="s">
        <v>40</v>
      </c>
      <c r="B25" s="191" t="s">
        <v>41</v>
      </c>
      <c r="C25" s="189" t="s">
        <v>100</v>
      </c>
      <c r="D25" s="204"/>
      <c r="E25" s="204"/>
      <c r="F25" s="204"/>
      <c r="G25" s="96"/>
    </row>
    <row r="26" spans="1:7" ht="19.5" customHeight="1">
      <c r="A26" s="305" t="s">
        <v>3</v>
      </c>
      <c r="B26" s="285" t="s">
        <v>103</v>
      </c>
      <c r="C26" s="286" t="s">
        <v>114</v>
      </c>
      <c r="D26" s="205" t="s">
        <v>43</v>
      </c>
      <c r="E26" s="205" t="s">
        <v>43</v>
      </c>
      <c r="F26" s="205" t="s">
        <v>43</v>
      </c>
      <c r="G26" s="205"/>
    </row>
    <row r="27" spans="1:7" ht="19.5" customHeight="1">
      <c r="A27" s="305" t="s">
        <v>4</v>
      </c>
      <c r="B27" s="188" t="s">
        <v>105</v>
      </c>
      <c r="C27" s="286" t="s">
        <v>115</v>
      </c>
      <c r="D27" s="205" t="s">
        <v>43</v>
      </c>
      <c r="E27" s="205" t="s">
        <v>43</v>
      </c>
      <c r="F27" s="205" t="s">
        <v>43</v>
      </c>
      <c r="G27" s="205"/>
    </row>
    <row r="28" spans="1:7" ht="19.5" customHeight="1">
      <c r="A28" s="305" t="s">
        <v>2</v>
      </c>
      <c r="B28" s="188" t="s">
        <v>102</v>
      </c>
      <c r="C28" s="286" t="s">
        <v>116</v>
      </c>
      <c r="D28" s="205" t="s">
        <v>43</v>
      </c>
      <c r="E28" s="205" t="s">
        <v>43</v>
      </c>
      <c r="F28" s="205" t="s">
        <v>43</v>
      </c>
      <c r="G28" s="205"/>
    </row>
    <row r="29" spans="1:7" ht="19.5" customHeight="1">
      <c r="A29" s="305" t="s">
        <v>1</v>
      </c>
      <c r="B29" s="188" t="s">
        <v>104</v>
      </c>
      <c r="C29" s="286" t="s">
        <v>117</v>
      </c>
      <c r="D29" s="205" t="s">
        <v>43</v>
      </c>
      <c r="E29" s="205" t="s">
        <v>43</v>
      </c>
      <c r="F29" s="205" t="s">
        <v>43</v>
      </c>
      <c r="G29" s="205"/>
    </row>
    <row r="30" ht="15.75">
      <c r="C30" s="207"/>
    </row>
    <row r="31" spans="1:2" ht="18">
      <c r="A31" s="189" t="s">
        <v>108</v>
      </c>
      <c r="B31" s="285"/>
    </row>
    <row r="32" spans="1:2" ht="18">
      <c r="A32" s="189" t="s">
        <v>109</v>
      </c>
      <c r="B32" s="205"/>
    </row>
    <row r="33" spans="1:2" ht="18">
      <c r="A33" s="286">
        <v>1</v>
      </c>
      <c r="B33" s="285" t="s">
        <v>110</v>
      </c>
    </row>
    <row r="34" spans="1:2" ht="18">
      <c r="A34" s="286">
        <v>2</v>
      </c>
      <c r="B34" s="285" t="s">
        <v>111</v>
      </c>
    </row>
    <row r="35" spans="1:2" ht="18">
      <c r="A35" s="286">
        <v>3</v>
      </c>
      <c r="B35" s="285" t="s">
        <v>112</v>
      </c>
    </row>
    <row r="36" spans="1:2" ht="18">
      <c r="A36" s="286">
        <v>4</v>
      </c>
      <c r="B36" s="285" t="s">
        <v>113</v>
      </c>
    </row>
    <row r="37" spans="1:2" ht="18">
      <c r="A37" s="286">
        <v>5</v>
      </c>
      <c r="B37" s="285" t="s">
        <v>113</v>
      </c>
    </row>
  </sheetData>
  <sheetProtection sheet="1" objects="1" scenarios="1" selectLockedCells="1"/>
  <mergeCells count="2">
    <mergeCell ref="A1:G1"/>
    <mergeCell ref="C6:G6"/>
  </mergeCells>
  <dataValidations count="1">
    <dataValidation type="list" allowBlank="1" showInputMessage="1" showErrorMessage="1" sqref="G9:G10 G21:G22 G15:G16">
      <formula1>$H$9:$H$13</formula1>
    </dataValidation>
  </dataValidation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4800" verticalDpi="4800" orientation="portrait" paperSize="9" r:id="rId1"/>
  <headerFooter alignWithMargins="0">
    <oddHeader>&amp;C&amp;"Arial,Bold"&amp;22RIDL National Final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64">
      <selection activeCell="A10" sqref="A10"/>
    </sheetView>
  </sheetViews>
  <sheetFormatPr defaultColWidth="11.421875" defaultRowHeight="12.75"/>
  <cols>
    <col min="1" max="1" width="13.7109375" style="74" customWidth="1"/>
    <col min="2" max="2" width="16.421875" style="74" customWidth="1"/>
    <col min="3" max="3" width="31.00390625" style="74" customWidth="1"/>
    <col min="4" max="4" width="12.00390625" style="74" bestFit="1" customWidth="1"/>
    <col min="5" max="16384" width="11.421875" style="74" customWidth="1"/>
  </cols>
  <sheetData>
    <row r="1" spans="1:6" s="73" customFormat="1" ht="19.5" customHeight="1">
      <c r="A1" s="433" t="s">
        <v>72</v>
      </c>
      <c r="B1" s="434"/>
      <c r="C1" s="434"/>
      <c r="D1" s="434"/>
      <c r="E1" s="434"/>
      <c r="F1" s="434"/>
    </row>
    <row r="2" s="73" customFormat="1" ht="19.5" customHeight="1"/>
    <row r="3" spans="1:7" s="73" customFormat="1" ht="19.5" customHeight="1">
      <c r="A3" s="75" t="s">
        <v>27</v>
      </c>
      <c r="B3" s="77" t="str">
        <f>Master!$B$3</f>
        <v>Streatham</v>
      </c>
      <c r="C3" s="77"/>
      <c r="D3" s="76" t="s">
        <v>1</v>
      </c>
      <c r="E3" s="292" t="str">
        <f>VLOOKUP(D3,Master!A26:B29,2,FALSE)</f>
        <v>South West</v>
      </c>
      <c r="F3" s="293"/>
      <c r="G3" s="74"/>
    </row>
    <row r="4" spans="1:7" s="73" customFormat="1" ht="19.5" customHeight="1">
      <c r="A4" s="75" t="s">
        <v>28</v>
      </c>
      <c r="B4" s="77" t="str">
        <f>Master!$B$4</f>
        <v>18th October 2014</v>
      </c>
      <c r="C4" s="77"/>
      <c r="D4" s="76" t="s">
        <v>2</v>
      </c>
      <c r="E4" s="292" t="str">
        <f>VLOOKUP(D4,Master!A26:B29,2,FALSE)</f>
        <v>South East</v>
      </c>
      <c r="F4" s="294"/>
      <c r="G4" s="74"/>
    </row>
    <row r="5" spans="1:7" s="73" customFormat="1" ht="19.5" customHeight="1">
      <c r="A5" s="75"/>
      <c r="B5" s="77"/>
      <c r="C5" s="77"/>
      <c r="D5" s="76" t="s">
        <v>3</v>
      </c>
      <c r="E5" s="292" t="str">
        <f>VLOOKUP(D5,Master!A26:B29,2,FALSE)</f>
        <v>North</v>
      </c>
      <c r="F5" s="294"/>
      <c r="G5" s="74"/>
    </row>
    <row r="6" spans="1:6" s="73" customFormat="1" ht="19.5" customHeight="1">
      <c r="A6" s="75"/>
      <c r="B6" s="76"/>
      <c r="D6" s="76" t="s">
        <v>4</v>
      </c>
      <c r="E6" s="292" t="str">
        <f>VLOOKUP(D6,Master!A26:B29,2,FALSE)</f>
        <v>South Central</v>
      </c>
      <c r="F6" s="293"/>
    </row>
    <row r="7" spans="1:2" s="73" customFormat="1" ht="19.5" customHeight="1" thickBot="1">
      <c r="A7" s="72"/>
      <c r="B7" s="2"/>
    </row>
    <row r="8" spans="1:5" s="73" customFormat="1" ht="19.5" customHeight="1" thickBot="1">
      <c r="A8" s="72" t="s">
        <v>36</v>
      </c>
      <c r="B8" s="210" t="str">
        <f>Master!$B$9</f>
        <v>Golden Skaters Waltz</v>
      </c>
      <c r="C8" s="211"/>
      <c r="D8" s="211" t="str">
        <f>Master!$G$9</f>
        <v>2 Sequences</v>
      </c>
      <c r="E8" s="212"/>
    </row>
    <row r="9" s="73" customFormat="1" ht="19.5" customHeight="1" thickBot="1"/>
    <row r="10" spans="1:6" s="73" customFormat="1" ht="19.5" customHeight="1" thickBot="1">
      <c r="A10" s="1" t="s">
        <v>71</v>
      </c>
      <c r="B10" s="1" t="s">
        <v>70</v>
      </c>
      <c r="C10" s="1" t="s">
        <v>57</v>
      </c>
      <c r="D10" s="1" t="s">
        <v>32</v>
      </c>
      <c r="E10" s="1" t="s">
        <v>58</v>
      </c>
      <c r="F10" s="1" t="s">
        <v>59</v>
      </c>
    </row>
    <row r="11" spans="1:6" s="73" customFormat="1" ht="19.5" customHeight="1">
      <c r="A11" s="78">
        <v>1</v>
      </c>
      <c r="B11" s="79" t="s">
        <v>60</v>
      </c>
      <c r="C11" s="437" t="str">
        <f>Master!$B$9</f>
        <v>Golden Skaters Waltz</v>
      </c>
      <c r="D11" s="437">
        <f>IF(Master!$C$9="","",Master!$C$9)</f>
      </c>
      <c r="E11" s="79">
        <f>IF(Master!$D$9="","",Master!$D$9)</f>
      </c>
      <c r="F11" s="80"/>
    </row>
    <row r="12" spans="1:6" s="73" customFormat="1" ht="19.5" customHeight="1">
      <c r="A12" s="81">
        <v>2</v>
      </c>
      <c r="B12" s="82" t="s">
        <v>63</v>
      </c>
      <c r="C12" s="438"/>
      <c r="D12" s="438"/>
      <c r="E12" s="82">
        <f>IF(Master!$E$9="","",Master!$E$9)</f>
      </c>
      <c r="F12" s="83"/>
    </row>
    <row r="13" spans="1:6" s="73" customFormat="1" ht="19.5" customHeight="1">
      <c r="A13" s="81">
        <v>3</v>
      </c>
      <c r="B13" s="82" t="s">
        <v>62</v>
      </c>
      <c r="C13" s="438"/>
      <c r="D13" s="438"/>
      <c r="E13" s="82">
        <f>IF(Master!$F$9="","",Master!$F$9)</f>
      </c>
      <c r="F13" s="83"/>
    </row>
    <row r="14" spans="1:6" s="73" customFormat="1" ht="19.5" customHeight="1">
      <c r="A14" s="81">
        <v>4</v>
      </c>
      <c r="B14" s="82" t="s">
        <v>61</v>
      </c>
      <c r="C14" s="438"/>
      <c r="D14" s="438"/>
      <c r="E14" s="82">
        <f>IF(Master!$D$9="","",Master!$D$9)</f>
      </c>
      <c r="F14" s="83"/>
    </row>
    <row r="15" spans="1:6" s="73" customFormat="1" ht="19.5" customHeight="1">
      <c r="A15" s="81">
        <v>5</v>
      </c>
      <c r="B15" s="82" t="s">
        <v>64</v>
      </c>
      <c r="C15" s="438"/>
      <c r="D15" s="438"/>
      <c r="E15" s="82">
        <f>IF(Master!$E$9="","",Master!$E$9)</f>
      </c>
      <c r="F15" s="83"/>
    </row>
    <row r="16" spans="1:6" s="73" customFormat="1" ht="19.5" customHeight="1" thickBot="1">
      <c r="A16" s="84">
        <v>6</v>
      </c>
      <c r="B16" s="85" t="s">
        <v>65</v>
      </c>
      <c r="C16" s="439"/>
      <c r="D16" s="439"/>
      <c r="E16" s="85">
        <f>IF(Master!$F$9="","",Master!$F$9)</f>
      </c>
      <c r="F16" s="86"/>
    </row>
    <row r="17" s="73" customFormat="1" ht="19.5" customHeight="1"/>
    <row r="18" spans="1:6" s="73" customFormat="1" ht="19.5" customHeight="1" thickBot="1">
      <c r="A18" s="76"/>
      <c r="B18" s="76"/>
      <c r="C18" s="76"/>
      <c r="D18" s="76"/>
      <c r="E18" s="76"/>
      <c r="F18" s="77"/>
    </row>
    <row r="19" spans="1:5" s="73" customFormat="1" ht="19.5" customHeight="1" thickBot="1">
      <c r="A19" s="72" t="s">
        <v>38</v>
      </c>
      <c r="B19" s="210" t="str">
        <f>Master!$B$10</f>
        <v>Riverside Rhumba</v>
      </c>
      <c r="C19" s="211"/>
      <c r="D19" s="211" t="str">
        <f>Master!$G$10</f>
        <v>2 Sequences</v>
      </c>
      <c r="E19" s="212"/>
    </row>
    <row r="20" s="73" customFormat="1" ht="19.5" customHeight="1" thickBot="1"/>
    <row r="21" spans="1:6" s="73" customFormat="1" ht="19.5" customHeight="1" thickBot="1">
      <c r="A21" s="1" t="s">
        <v>71</v>
      </c>
      <c r="B21" s="1" t="s">
        <v>70</v>
      </c>
      <c r="C21" s="1" t="s">
        <v>57</v>
      </c>
      <c r="D21" s="1" t="s">
        <v>32</v>
      </c>
      <c r="E21" s="1" t="s">
        <v>58</v>
      </c>
      <c r="F21" s="1" t="s">
        <v>59</v>
      </c>
    </row>
    <row r="22" spans="1:6" s="73" customFormat="1" ht="19.5" customHeight="1">
      <c r="A22" s="87">
        <v>7</v>
      </c>
      <c r="B22" s="79" t="s">
        <v>60</v>
      </c>
      <c r="C22" s="440" t="str">
        <f>Master!$B$10</f>
        <v>Riverside Rhumba</v>
      </c>
      <c r="D22" s="437">
        <f>IF(Master!$C$10="","",Master!$C$10)</f>
      </c>
      <c r="E22" s="93">
        <f>IF(Master!$D$10="","",Master!$D$10)</f>
      </c>
      <c r="F22" s="88"/>
    </row>
    <row r="23" spans="1:6" s="73" customFormat="1" ht="19.5" customHeight="1">
      <c r="A23" s="89">
        <v>8</v>
      </c>
      <c r="B23" s="82" t="s">
        <v>63</v>
      </c>
      <c r="C23" s="438"/>
      <c r="D23" s="438"/>
      <c r="E23" s="94">
        <f>IF(Master!$E$10="","",Master!$E$10)</f>
      </c>
      <c r="F23" s="90"/>
    </row>
    <row r="24" spans="1:6" s="73" customFormat="1" ht="19.5" customHeight="1">
      <c r="A24" s="89">
        <v>9</v>
      </c>
      <c r="B24" s="82" t="s">
        <v>62</v>
      </c>
      <c r="C24" s="438"/>
      <c r="D24" s="438"/>
      <c r="E24" s="94">
        <f>IF(Master!$F$10="","",Master!$F$10)</f>
      </c>
      <c r="F24" s="90"/>
    </row>
    <row r="25" spans="1:6" s="73" customFormat="1" ht="19.5" customHeight="1">
      <c r="A25" s="89">
        <v>10</v>
      </c>
      <c r="B25" s="82" t="s">
        <v>61</v>
      </c>
      <c r="C25" s="438"/>
      <c r="D25" s="438"/>
      <c r="E25" s="94">
        <f>IF(Master!$D$10="","",Master!$D$10)</f>
      </c>
      <c r="F25" s="90"/>
    </row>
    <row r="26" spans="1:6" s="73" customFormat="1" ht="19.5" customHeight="1">
      <c r="A26" s="89">
        <v>11</v>
      </c>
      <c r="B26" s="82" t="s">
        <v>64</v>
      </c>
      <c r="C26" s="438"/>
      <c r="D26" s="438"/>
      <c r="E26" s="94">
        <f>IF(Master!$E$10="","",Master!$E$10)</f>
      </c>
      <c r="F26" s="90"/>
    </row>
    <row r="27" spans="1:6" s="73" customFormat="1" ht="19.5" customHeight="1" thickBot="1">
      <c r="A27" s="91">
        <v>12</v>
      </c>
      <c r="B27" s="85" t="s">
        <v>65</v>
      </c>
      <c r="C27" s="439"/>
      <c r="D27" s="439"/>
      <c r="E27" s="95">
        <f>IF(Master!$F$10="","",Master!$F$10)</f>
      </c>
      <c r="F27" s="92"/>
    </row>
    <row r="28" spans="1:6" s="73" customFormat="1" ht="19.5" customHeight="1">
      <c r="A28" s="76"/>
      <c r="B28" s="76"/>
      <c r="C28" s="76"/>
      <c r="D28" s="76"/>
      <c r="E28" s="76"/>
      <c r="F28" s="77"/>
    </row>
    <row r="29" spans="3:6" s="73" customFormat="1" ht="19.5" customHeight="1">
      <c r="C29" s="76"/>
      <c r="D29" s="76"/>
      <c r="E29" s="76"/>
      <c r="F29" s="77"/>
    </row>
    <row r="30" spans="3:6" s="73" customFormat="1" ht="19.5" customHeight="1">
      <c r="C30" s="76"/>
      <c r="D30" s="76"/>
      <c r="E30" s="76"/>
      <c r="F30" s="77"/>
    </row>
    <row r="31" spans="3:6" s="73" customFormat="1" ht="19.5" customHeight="1">
      <c r="C31" s="76"/>
      <c r="D31" s="76"/>
      <c r="E31" s="76"/>
      <c r="F31" s="77"/>
    </row>
    <row r="32" spans="3:6" s="73" customFormat="1" ht="19.5" customHeight="1">
      <c r="C32" s="76"/>
      <c r="D32" s="76"/>
      <c r="E32" s="76"/>
      <c r="F32" s="77"/>
    </row>
    <row r="33" spans="1:6" s="73" customFormat="1" ht="19.5" customHeight="1">
      <c r="A33" s="435" t="s">
        <v>73</v>
      </c>
      <c r="B33" s="436"/>
      <c r="C33" s="436"/>
      <c r="D33" s="436"/>
      <c r="E33" s="436"/>
      <c r="F33" s="436"/>
    </row>
    <row r="34" s="73" customFormat="1" ht="19.5" customHeight="1"/>
    <row r="35" spans="1:7" s="73" customFormat="1" ht="19.5" customHeight="1">
      <c r="A35" s="75" t="s">
        <v>27</v>
      </c>
      <c r="B35" s="77" t="str">
        <f>Master!$B$3</f>
        <v>Streatham</v>
      </c>
      <c r="C35" s="77"/>
      <c r="D35" s="76" t="s">
        <v>1</v>
      </c>
      <c r="E35" s="292" t="str">
        <f>VLOOKUP(D35,Master!A26:B29,2,FALSE)</f>
        <v>South West</v>
      </c>
      <c r="F35" s="293"/>
      <c r="G35" s="74"/>
    </row>
    <row r="36" spans="1:7" s="73" customFormat="1" ht="19.5" customHeight="1">
      <c r="A36" s="75" t="s">
        <v>28</v>
      </c>
      <c r="B36" s="77" t="str">
        <f>Master!$B$4</f>
        <v>18th October 2014</v>
      </c>
      <c r="C36" s="77"/>
      <c r="D36" s="76" t="s">
        <v>2</v>
      </c>
      <c r="E36" s="292" t="str">
        <f>VLOOKUP(D36,Master!A26:B29,2,FALSE)</f>
        <v>South East</v>
      </c>
      <c r="F36" s="294"/>
      <c r="G36" s="74"/>
    </row>
    <row r="37" spans="1:7" s="73" customFormat="1" ht="19.5" customHeight="1">
      <c r="A37" s="75"/>
      <c r="B37" s="77"/>
      <c r="C37" s="77"/>
      <c r="D37" s="76" t="s">
        <v>3</v>
      </c>
      <c r="E37" s="292" t="str">
        <f>VLOOKUP(D37,Master!A26:B29,2,FALSE)</f>
        <v>North</v>
      </c>
      <c r="F37" s="294"/>
      <c r="G37" s="74"/>
    </row>
    <row r="38" spans="1:6" s="73" customFormat="1" ht="19.5" customHeight="1">
      <c r="A38" s="75"/>
      <c r="B38" s="76"/>
      <c r="D38" s="76" t="s">
        <v>4</v>
      </c>
      <c r="E38" s="292" t="str">
        <f>VLOOKUP(D38,Master!A26:B29,2,FALSE)</f>
        <v>South Central</v>
      </c>
      <c r="F38" s="293"/>
    </row>
    <row r="39" spans="1:2" s="73" customFormat="1" ht="19.5" customHeight="1" thickBot="1">
      <c r="A39" s="72"/>
      <c r="B39" s="2"/>
    </row>
    <row r="40" spans="1:5" s="73" customFormat="1" ht="19.5" customHeight="1" thickBot="1">
      <c r="A40" s="72" t="s">
        <v>36</v>
      </c>
      <c r="B40" s="213" t="str">
        <f>Master!$B$15</f>
        <v>Ten Fox</v>
      </c>
      <c r="C40" s="214"/>
      <c r="D40" s="214" t="str">
        <f>Master!$G$15</f>
        <v>2 Sequences</v>
      </c>
      <c r="E40" s="215"/>
    </row>
    <row r="41" s="73" customFormat="1" ht="19.5" customHeight="1" thickBot="1"/>
    <row r="42" spans="1:6" s="73" customFormat="1" ht="19.5" customHeight="1" thickBot="1">
      <c r="A42" s="1" t="s">
        <v>71</v>
      </c>
      <c r="B42" s="1" t="s">
        <v>70</v>
      </c>
      <c r="C42" s="1" t="s">
        <v>57</v>
      </c>
      <c r="D42" s="1" t="s">
        <v>32</v>
      </c>
      <c r="E42" s="1" t="s">
        <v>58</v>
      </c>
      <c r="F42" s="1" t="s">
        <v>59</v>
      </c>
    </row>
    <row r="43" spans="1:6" s="73" customFormat="1" ht="19.5" customHeight="1">
      <c r="A43" s="78">
        <v>1</v>
      </c>
      <c r="B43" s="79" t="s">
        <v>60</v>
      </c>
      <c r="C43" s="437" t="str">
        <f>Master!$B$15</f>
        <v>Ten Fox</v>
      </c>
      <c r="D43" s="437">
        <f>IF(Master!$C$15="","",Master!$C$15)</f>
      </c>
      <c r="E43" s="79">
        <f>IF(Master!$D$15="","",Master!$D$15)</f>
      </c>
      <c r="F43" s="80"/>
    </row>
    <row r="44" spans="1:6" s="73" customFormat="1" ht="19.5" customHeight="1">
      <c r="A44" s="81">
        <v>2</v>
      </c>
      <c r="B44" s="82" t="s">
        <v>63</v>
      </c>
      <c r="C44" s="438"/>
      <c r="D44" s="438"/>
      <c r="E44" s="82">
        <f>IF(Master!$E$15="","",Master!$E$15)</f>
      </c>
      <c r="F44" s="83"/>
    </row>
    <row r="45" spans="1:6" s="73" customFormat="1" ht="19.5" customHeight="1">
      <c r="A45" s="81">
        <v>3</v>
      </c>
      <c r="B45" s="82" t="s">
        <v>62</v>
      </c>
      <c r="C45" s="438"/>
      <c r="D45" s="438"/>
      <c r="E45" s="82">
        <f>IF(Master!$F$15="","",Master!$F$15)</f>
      </c>
      <c r="F45" s="83"/>
    </row>
    <row r="46" spans="1:6" s="73" customFormat="1" ht="19.5" customHeight="1">
      <c r="A46" s="81">
        <v>4</v>
      </c>
      <c r="B46" s="82" t="s">
        <v>61</v>
      </c>
      <c r="C46" s="438"/>
      <c r="D46" s="438"/>
      <c r="E46" s="82">
        <f>IF(Master!$D$15="","",Master!$D$15)</f>
      </c>
      <c r="F46" s="83"/>
    </row>
    <row r="47" spans="1:6" s="73" customFormat="1" ht="19.5" customHeight="1">
      <c r="A47" s="81">
        <v>5</v>
      </c>
      <c r="B47" s="82" t="s">
        <v>64</v>
      </c>
      <c r="C47" s="438"/>
      <c r="D47" s="438"/>
      <c r="E47" s="82">
        <f>IF(Master!$E$15="","",Master!$E$15)</f>
      </c>
      <c r="F47" s="83"/>
    </row>
    <row r="48" spans="1:6" s="73" customFormat="1" ht="19.5" customHeight="1" thickBot="1">
      <c r="A48" s="84">
        <v>6</v>
      </c>
      <c r="B48" s="85" t="s">
        <v>65</v>
      </c>
      <c r="C48" s="439"/>
      <c r="D48" s="439"/>
      <c r="E48" s="85">
        <f>IF(Master!$F$15="","",Master!$F$15)</f>
      </c>
      <c r="F48" s="86"/>
    </row>
    <row r="49" s="73" customFormat="1" ht="19.5" customHeight="1"/>
    <row r="50" spans="1:6" s="73" customFormat="1" ht="19.5" customHeight="1" thickBot="1">
      <c r="A50" s="76"/>
      <c r="B50" s="76"/>
      <c r="C50" s="76"/>
      <c r="D50" s="76"/>
      <c r="E50" s="76"/>
      <c r="F50" s="77"/>
    </row>
    <row r="51" spans="1:5" s="73" customFormat="1" ht="19.5" customHeight="1" thickBot="1">
      <c r="A51" s="72" t="s">
        <v>38</v>
      </c>
      <c r="B51" s="213" t="str">
        <f>Master!$B$16</f>
        <v>14 Step</v>
      </c>
      <c r="C51" s="214"/>
      <c r="D51" s="214" t="str">
        <f>Master!$G$16</f>
        <v>2 Sequences</v>
      </c>
      <c r="E51" s="215"/>
    </row>
    <row r="52" s="73" customFormat="1" ht="19.5" customHeight="1" thickBot="1"/>
    <row r="53" spans="1:6" s="73" customFormat="1" ht="19.5" customHeight="1" thickBot="1">
      <c r="A53" s="1" t="s">
        <v>71</v>
      </c>
      <c r="B53" s="1" t="s">
        <v>70</v>
      </c>
      <c r="C53" s="1" t="s">
        <v>57</v>
      </c>
      <c r="D53" s="1" t="s">
        <v>32</v>
      </c>
      <c r="E53" s="1" t="s">
        <v>58</v>
      </c>
      <c r="F53" s="1" t="s">
        <v>59</v>
      </c>
    </row>
    <row r="54" spans="1:6" s="73" customFormat="1" ht="19.5" customHeight="1">
      <c r="A54" s="87">
        <v>7</v>
      </c>
      <c r="B54" s="79" t="s">
        <v>60</v>
      </c>
      <c r="C54" s="440" t="str">
        <f>Master!$B$16</f>
        <v>14 Step</v>
      </c>
      <c r="D54" s="437">
        <f>IF(Master!$C$16="","",Master!$C$16)</f>
      </c>
      <c r="E54" s="93">
        <f>IF(Master!$D$16="","",Master!$D$16)</f>
      </c>
      <c r="F54" s="88"/>
    </row>
    <row r="55" spans="1:6" s="73" customFormat="1" ht="19.5" customHeight="1">
      <c r="A55" s="89">
        <v>8</v>
      </c>
      <c r="B55" s="82" t="s">
        <v>63</v>
      </c>
      <c r="C55" s="438"/>
      <c r="D55" s="438"/>
      <c r="E55" s="94">
        <f>IF(Master!$E$16="","",Master!$E$16)</f>
      </c>
      <c r="F55" s="90"/>
    </row>
    <row r="56" spans="1:6" s="73" customFormat="1" ht="19.5" customHeight="1">
      <c r="A56" s="89">
        <v>9</v>
      </c>
      <c r="B56" s="82" t="s">
        <v>62</v>
      </c>
      <c r="C56" s="438"/>
      <c r="D56" s="438"/>
      <c r="E56" s="94">
        <f>IF(Master!$F$16="","",Master!$F$16)</f>
      </c>
      <c r="F56" s="90"/>
    </row>
    <row r="57" spans="1:6" s="73" customFormat="1" ht="19.5" customHeight="1">
      <c r="A57" s="89">
        <v>10</v>
      </c>
      <c r="B57" s="82" t="s">
        <v>61</v>
      </c>
      <c r="C57" s="438"/>
      <c r="D57" s="438"/>
      <c r="E57" s="94">
        <f>IF(Master!$D$16="","",Master!$D$16)</f>
      </c>
      <c r="F57" s="90"/>
    </row>
    <row r="58" spans="1:6" s="73" customFormat="1" ht="19.5" customHeight="1">
      <c r="A58" s="89">
        <v>11</v>
      </c>
      <c r="B58" s="82" t="s">
        <v>64</v>
      </c>
      <c r="C58" s="438"/>
      <c r="D58" s="438"/>
      <c r="E58" s="94">
        <f>IF(Master!$E$16="","",Master!$E$16)</f>
      </c>
      <c r="F58" s="90"/>
    </row>
    <row r="59" spans="1:6" s="73" customFormat="1" ht="19.5" customHeight="1" thickBot="1">
      <c r="A59" s="91">
        <v>12</v>
      </c>
      <c r="B59" s="85" t="s">
        <v>65</v>
      </c>
      <c r="C59" s="439"/>
      <c r="D59" s="439"/>
      <c r="E59" s="95">
        <f>IF(Master!$F$16="","",Master!$F$16)</f>
      </c>
      <c r="F59" s="92"/>
    </row>
    <row r="60" spans="1:6" s="73" customFormat="1" ht="19.5" customHeight="1">
      <c r="A60" s="76"/>
      <c r="B60" s="76"/>
      <c r="C60" s="76"/>
      <c r="D60" s="76"/>
      <c r="E60" s="76"/>
      <c r="F60" s="77"/>
    </row>
    <row r="61" spans="1:6" s="73" customFormat="1" ht="19.5" customHeight="1">
      <c r="A61" s="76"/>
      <c r="B61" s="76"/>
      <c r="C61" s="76"/>
      <c r="D61" s="76"/>
      <c r="E61" s="76"/>
      <c r="F61" s="77"/>
    </row>
    <row r="62" spans="1:6" s="73" customFormat="1" ht="19.5" customHeight="1">
      <c r="A62" s="441" t="s">
        <v>74</v>
      </c>
      <c r="B62" s="442"/>
      <c r="C62" s="442"/>
      <c r="D62" s="442"/>
      <c r="E62" s="442"/>
      <c r="F62" s="442"/>
    </row>
    <row r="63" s="73" customFormat="1" ht="19.5" customHeight="1"/>
    <row r="64" spans="1:7" s="73" customFormat="1" ht="19.5" customHeight="1">
      <c r="A64" s="75" t="s">
        <v>27</v>
      </c>
      <c r="B64" s="77" t="str">
        <f>Master!$B$3</f>
        <v>Streatham</v>
      </c>
      <c r="C64" s="77"/>
      <c r="D64" s="76" t="s">
        <v>1</v>
      </c>
      <c r="E64" s="292" t="str">
        <f>VLOOKUP(D64,Master!A26:B29,2,FALSE)</f>
        <v>South West</v>
      </c>
      <c r="F64" s="293"/>
      <c r="G64" s="74"/>
    </row>
    <row r="65" spans="1:7" s="73" customFormat="1" ht="19.5" customHeight="1">
      <c r="A65" s="75" t="s">
        <v>28</v>
      </c>
      <c r="B65" s="77" t="str">
        <f>Master!$B$4</f>
        <v>18th October 2014</v>
      </c>
      <c r="C65" s="77"/>
      <c r="D65" s="76" t="s">
        <v>2</v>
      </c>
      <c r="E65" s="292" t="str">
        <f>VLOOKUP(D65,Master!A26:B29,2,FALSE)</f>
        <v>South East</v>
      </c>
      <c r="F65" s="294"/>
      <c r="G65" s="74"/>
    </row>
    <row r="66" spans="1:7" s="73" customFormat="1" ht="19.5" customHeight="1">
      <c r="A66" s="75"/>
      <c r="B66" s="77"/>
      <c r="C66" s="77"/>
      <c r="D66" s="76" t="s">
        <v>3</v>
      </c>
      <c r="E66" s="292" t="str">
        <f>VLOOKUP(D66,Master!A26:B29,2,FALSE)</f>
        <v>North</v>
      </c>
      <c r="F66" s="294"/>
      <c r="G66" s="74"/>
    </row>
    <row r="67" spans="1:6" s="73" customFormat="1" ht="19.5" customHeight="1">
      <c r="A67" s="75"/>
      <c r="B67" s="76"/>
      <c r="D67" s="76" t="s">
        <v>4</v>
      </c>
      <c r="E67" s="292" t="str">
        <f>VLOOKUP(D67,Master!A26:B29,2,FALSE)</f>
        <v>South Central</v>
      </c>
      <c r="F67" s="293"/>
    </row>
    <row r="68" spans="1:2" s="73" customFormat="1" ht="19.5" customHeight="1" thickBot="1">
      <c r="A68" s="72"/>
      <c r="B68" s="2"/>
    </row>
    <row r="69" spans="1:5" s="73" customFormat="1" ht="19.5" customHeight="1" thickBot="1">
      <c r="A69" s="72" t="s">
        <v>36</v>
      </c>
      <c r="B69" s="216" t="str">
        <f>Master!$B$21</f>
        <v>Blues</v>
      </c>
      <c r="C69" s="217"/>
      <c r="D69" s="217" t="str">
        <f>Master!$G$21</f>
        <v>2 Sequences</v>
      </c>
      <c r="E69" s="218"/>
    </row>
    <row r="70" s="73" customFormat="1" ht="19.5" customHeight="1" thickBot="1"/>
    <row r="71" spans="1:6" s="73" customFormat="1" ht="19.5" customHeight="1" thickBot="1">
      <c r="A71" s="1" t="s">
        <v>71</v>
      </c>
      <c r="B71" s="1" t="s">
        <v>70</v>
      </c>
      <c r="C71" s="1" t="s">
        <v>57</v>
      </c>
      <c r="D71" s="1" t="s">
        <v>32</v>
      </c>
      <c r="E71" s="1" t="s">
        <v>58</v>
      </c>
      <c r="F71" s="1" t="s">
        <v>59</v>
      </c>
    </row>
    <row r="72" spans="1:6" s="73" customFormat="1" ht="19.5" customHeight="1">
      <c r="A72" s="78">
        <v>1</v>
      </c>
      <c r="B72" s="79" t="s">
        <v>60</v>
      </c>
      <c r="C72" s="437" t="str">
        <f>Master!$B$21</f>
        <v>Blues</v>
      </c>
      <c r="D72" s="437">
        <f>IF(Master!$C$21="","",Master!$C$21)</f>
      </c>
      <c r="E72" s="79">
        <f>IF(Master!$D$21="","",Master!$D$21)</f>
      </c>
      <c r="F72" s="80"/>
    </row>
    <row r="73" spans="1:6" s="73" customFormat="1" ht="19.5" customHeight="1">
      <c r="A73" s="81">
        <v>2</v>
      </c>
      <c r="B73" s="82" t="s">
        <v>63</v>
      </c>
      <c r="C73" s="438"/>
      <c r="D73" s="438"/>
      <c r="E73" s="82">
        <f>IF(Master!$E$21="","",Master!$E$21)</f>
      </c>
      <c r="F73" s="83"/>
    </row>
    <row r="74" spans="1:6" s="73" customFormat="1" ht="19.5" customHeight="1">
      <c r="A74" s="81">
        <v>3</v>
      </c>
      <c r="B74" s="82" t="s">
        <v>62</v>
      </c>
      <c r="C74" s="438"/>
      <c r="D74" s="438"/>
      <c r="E74" s="82">
        <f>IF(Master!$F$21="","",Master!$F$21)</f>
      </c>
      <c r="F74" s="83"/>
    </row>
    <row r="75" spans="1:6" s="73" customFormat="1" ht="19.5" customHeight="1">
      <c r="A75" s="81">
        <v>4</v>
      </c>
      <c r="B75" s="82" t="s">
        <v>61</v>
      </c>
      <c r="C75" s="438"/>
      <c r="D75" s="438"/>
      <c r="E75" s="82">
        <f>IF(Master!$D$21="","",Master!$D$21)</f>
      </c>
      <c r="F75" s="83"/>
    </row>
    <row r="76" spans="1:6" s="73" customFormat="1" ht="19.5" customHeight="1">
      <c r="A76" s="81">
        <v>5</v>
      </c>
      <c r="B76" s="82" t="s">
        <v>64</v>
      </c>
      <c r="C76" s="438"/>
      <c r="D76" s="438"/>
      <c r="E76" s="82">
        <f>IF(Master!$E$21="","",Master!$E$21)</f>
      </c>
      <c r="F76" s="83"/>
    </row>
    <row r="77" spans="1:6" s="73" customFormat="1" ht="19.5" customHeight="1" thickBot="1">
      <c r="A77" s="84">
        <v>6</v>
      </c>
      <c r="B77" s="85" t="s">
        <v>65</v>
      </c>
      <c r="C77" s="439"/>
      <c r="D77" s="439"/>
      <c r="E77" s="85">
        <f>IF(Master!$F$21="","",Master!$F$21)</f>
      </c>
      <c r="F77" s="86"/>
    </row>
    <row r="78" s="73" customFormat="1" ht="19.5" customHeight="1"/>
    <row r="79" spans="1:6" s="73" customFormat="1" ht="19.5" customHeight="1" thickBot="1">
      <c r="A79" s="76"/>
      <c r="B79" s="76"/>
      <c r="C79" s="76"/>
      <c r="D79" s="76"/>
      <c r="E79" s="76"/>
      <c r="F79" s="77"/>
    </row>
    <row r="80" spans="1:5" s="73" customFormat="1" ht="19.5" customHeight="1" thickBot="1">
      <c r="A80" s="72" t="s">
        <v>38</v>
      </c>
      <c r="B80" s="216" t="str">
        <f>Master!$B$22</f>
        <v>Westminster Waltz</v>
      </c>
      <c r="C80" s="217"/>
      <c r="D80" s="217" t="str">
        <f>Master!$G$22</f>
        <v>2 Sequences</v>
      </c>
      <c r="E80" s="218"/>
    </row>
    <row r="81" s="73" customFormat="1" ht="19.5" customHeight="1" thickBot="1"/>
    <row r="82" spans="1:6" s="73" customFormat="1" ht="19.5" customHeight="1" thickBot="1">
      <c r="A82" s="1" t="s">
        <v>71</v>
      </c>
      <c r="B82" s="1" t="s">
        <v>70</v>
      </c>
      <c r="C82" s="1" t="s">
        <v>57</v>
      </c>
      <c r="D82" s="1" t="s">
        <v>32</v>
      </c>
      <c r="E82" s="1" t="s">
        <v>58</v>
      </c>
      <c r="F82" s="1" t="s">
        <v>59</v>
      </c>
    </row>
    <row r="83" spans="1:6" s="73" customFormat="1" ht="19.5" customHeight="1">
      <c r="A83" s="87">
        <v>7</v>
      </c>
      <c r="B83" s="79" t="s">
        <v>60</v>
      </c>
      <c r="C83" s="440" t="str">
        <f>Master!$B$22</f>
        <v>Westminster Waltz</v>
      </c>
      <c r="D83" s="437">
        <f>IF(Master!$C$22="","",Master!$C$22)</f>
      </c>
      <c r="E83" s="93">
        <f>IF(Master!$D$22="","",Master!$D$22)</f>
      </c>
      <c r="F83" s="88"/>
    </row>
    <row r="84" spans="1:6" s="73" customFormat="1" ht="19.5" customHeight="1">
      <c r="A84" s="89">
        <v>8</v>
      </c>
      <c r="B84" s="82" t="s">
        <v>63</v>
      </c>
      <c r="C84" s="438"/>
      <c r="D84" s="438"/>
      <c r="E84" s="94">
        <f>IF(Master!$E$22="","",Master!$E$22)</f>
      </c>
      <c r="F84" s="90"/>
    </row>
    <row r="85" spans="1:6" s="73" customFormat="1" ht="19.5" customHeight="1">
      <c r="A85" s="89">
        <v>9</v>
      </c>
      <c r="B85" s="82" t="s">
        <v>62</v>
      </c>
      <c r="C85" s="438"/>
      <c r="D85" s="438"/>
      <c r="E85" s="94">
        <f>IF(Master!$F$22="","",Master!$F$22)</f>
      </c>
      <c r="F85" s="90"/>
    </row>
    <row r="86" spans="1:6" s="73" customFormat="1" ht="19.5" customHeight="1">
      <c r="A86" s="89">
        <v>10</v>
      </c>
      <c r="B86" s="82" t="s">
        <v>61</v>
      </c>
      <c r="C86" s="438"/>
      <c r="D86" s="438"/>
      <c r="E86" s="94">
        <f>IF(Master!$D$22="","",Master!$D$22)</f>
      </c>
      <c r="F86" s="90"/>
    </row>
    <row r="87" spans="1:6" s="73" customFormat="1" ht="19.5" customHeight="1">
      <c r="A87" s="89">
        <v>11</v>
      </c>
      <c r="B87" s="82" t="s">
        <v>64</v>
      </c>
      <c r="C87" s="438"/>
      <c r="D87" s="438"/>
      <c r="E87" s="94">
        <f>IF(Master!$E$22="","",Master!$E$22)</f>
      </c>
      <c r="F87" s="90"/>
    </row>
    <row r="88" spans="1:6" s="73" customFormat="1" ht="19.5" customHeight="1" thickBot="1">
      <c r="A88" s="91">
        <v>12</v>
      </c>
      <c r="B88" s="85" t="s">
        <v>65</v>
      </c>
      <c r="C88" s="439"/>
      <c r="D88" s="439"/>
      <c r="E88" s="95">
        <f>IF(Master!$F$22="","",Master!$F$22)</f>
      </c>
      <c r="F88" s="92"/>
    </row>
  </sheetData>
  <sheetProtection password="CAEF" sheet="1" objects="1" scenarios="1"/>
  <mergeCells count="15">
    <mergeCell ref="C83:C88"/>
    <mergeCell ref="D83:D88"/>
    <mergeCell ref="C54:C59"/>
    <mergeCell ref="D54:D59"/>
    <mergeCell ref="A62:F62"/>
    <mergeCell ref="C72:C77"/>
    <mergeCell ref="D72:D77"/>
    <mergeCell ref="A1:F1"/>
    <mergeCell ref="A33:F33"/>
    <mergeCell ref="C43:C48"/>
    <mergeCell ref="D43:D48"/>
    <mergeCell ref="D11:D16"/>
    <mergeCell ref="D22:D27"/>
    <mergeCell ref="C11:C16"/>
    <mergeCell ref="C22:C27"/>
  </mergeCells>
  <printOptions horizontalCentered="1"/>
  <pageMargins left="0.1968503937007874" right="0.1968503937007874" top="1.5748031496062993" bottom="0.11811023622047245" header="0.7874015748031497" footer="0.11811023622047245"/>
  <pageSetup horizontalDpi="600" verticalDpi="600" orientation="portrait" paperSize="9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32" max="255" man="1"/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W52"/>
  <sheetViews>
    <sheetView zoomScalePageLayoutView="0" workbookViewId="0" topLeftCell="A34">
      <selection activeCell="B4" sqref="B4"/>
    </sheetView>
  </sheetViews>
  <sheetFormatPr defaultColWidth="9.140625" defaultRowHeight="12.75"/>
  <cols>
    <col min="1" max="1" width="15.140625" style="0" customWidth="1"/>
    <col min="2" max="2" width="23.421875" style="0" customWidth="1"/>
    <col min="3" max="3" width="10.57421875" style="245" customWidth="1"/>
    <col min="4" max="4" width="15.421875" style="0" customWidth="1"/>
    <col min="5" max="9" width="14.421875" style="0" customWidth="1"/>
  </cols>
  <sheetData>
    <row r="1" ht="30" customHeight="1">
      <c r="A1" s="244" t="s">
        <v>88</v>
      </c>
    </row>
    <row r="2" ht="30" customHeight="1" thickBot="1">
      <c r="A2" s="244"/>
    </row>
    <row r="3" spans="1:9" ht="30" customHeight="1" thickBot="1">
      <c r="A3" s="244"/>
      <c r="D3" s="443" t="s">
        <v>97</v>
      </c>
      <c r="E3" s="444"/>
      <c r="F3" s="444"/>
      <c r="G3" s="444"/>
      <c r="H3" s="451"/>
      <c r="I3" s="247"/>
    </row>
    <row r="4" spans="1:205" ht="30" customHeight="1" thickBot="1">
      <c r="A4" s="243"/>
      <c r="B4" s="242"/>
      <c r="C4" s="246"/>
      <c r="D4" s="452" t="str">
        <f>Master!$B$9</f>
        <v>Golden Skaters Waltz</v>
      </c>
      <c r="E4" s="452"/>
      <c r="F4" s="452" t="str">
        <f>Master!$B$10</f>
        <v>Riverside Rhumba</v>
      </c>
      <c r="G4" s="452"/>
      <c r="H4" s="452"/>
      <c r="I4" s="249" t="s">
        <v>80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  <c r="FL4" s="242"/>
      <c r="FM4" s="242"/>
      <c r="FN4" s="242"/>
      <c r="FO4" s="242"/>
      <c r="FP4" s="242"/>
      <c r="FQ4" s="242"/>
      <c r="FR4" s="242"/>
      <c r="FS4" s="242"/>
      <c r="FT4" s="242"/>
      <c r="FU4" s="242"/>
      <c r="FV4" s="242"/>
      <c r="FW4" s="242"/>
      <c r="FX4" s="242"/>
      <c r="FY4" s="242"/>
      <c r="FZ4" s="242"/>
      <c r="GA4" s="242"/>
      <c r="GB4" s="242"/>
      <c r="GC4" s="242"/>
      <c r="GD4" s="242"/>
      <c r="GE4" s="242"/>
      <c r="GF4" s="242"/>
      <c r="GG4" s="242"/>
      <c r="GH4" s="242"/>
      <c r="GI4" s="242"/>
      <c r="GJ4" s="242"/>
      <c r="GK4" s="242"/>
      <c r="GL4" s="242"/>
      <c r="GM4" s="242"/>
      <c r="GN4" s="242"/>
      <c r="GO4" s="242"/>
      <c r="GP4" s="242"/>
      <c r="GQ4" s="242"/>
      <c r="GR4" s="242"/>
      <c r="GS4" s="242"/>
      <c r="GT4" s="242"/>
      <c r="GU4" s="242"/>
      <c r="GV4" s="242"/>
      <c r="GW4" s="242"/>
    </row>
    <row r="5" spans="1:205" ht="30" customHeight="1" thickBot="1">
      <c r="A5" s="256"/>
      <c r="B5" s="257" t="s">
        <v>93</v>
      </c>
      <c r="C5" s="258" t="s">
        <v>40</v>
      </c>
      <c r="D5" s="259" t="s">
        <v>94</v>
      </c>
      <c r="E5" s="260" t="s">
        <v>95</v>
      </c>
      <c r="F5" s="259" t="s">
        <v>96</v>
      </c>
      <c r="G5" s="261" t="s">
        <v>94</v>
      </c>
      <c r="H5" s="260" t="s">
        <v>95</v>
      </c>
      <c r="I5" s="248" t="s">
        <v>24</v>
      </c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</row>
    <row r="6" spans="1:205" ht="30" customHeight="1">
      <c r="A6" s="251" t="s">
        <v>89</v>
      </c>
      <c r="B6" s="250" t="str">
        <f>IF(Master!B26="","",Master!B26)</f>
        <v>North</v>
      </c>
      <c r="C6" s="252" t="str">
        <f>IF(Master!A26="","",Master!A26)</f>
        <v>C</v>
      </c>
      <c r="D6" s="262">
        <f>IF(team1!L$10=1,25,IF(team1!L$10=2,50,""))</f>
      </c>
      <c r="E6" s="264">
        <f>IF(team1!L$11=1,25,IF(team1!L$11=2,50,""))</f>
      </c>
      <c r="F6" s="264">
        <f>IF(team1!L$14=1,25,IF(team1!L$14=2,50,""))</f>
        <v>50</v>
      </c>
      <c r="G6" s="264">
        <f>IF(team1!L$15=1,25,IF(team1!L$15=2,50,""))</f>
      </c>
      <c r="H6" s="263">
        <f>IF(team1!L$16=1,25,IF(team1!L$16=2,50,""))</f>
        <v>25</v>
      </c>
      <c r="I6" s="265">
        <f>12-team1!L17</f>
        <v>9</v>
      </c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</row>
    <row r="7" spans="1:205" ht="30" customHeight="1">
      <c r="A7" s="251" t="s">
        <v>90</v>
      </c>
      <c r="B7" s="250" t="str">
        <f>IF(Master!B27="","",Master!B27)</f>
        <v>South Central</v>
      </c>
      <c r="C7" s="252" t="str">
        <f>IF(Master!A27="","",Master!A27)</f>
        <v>D</v>
      </c>
      <c r="D7" s="266">
        <f>IF(team2!L$10=1,25,IF(team2!L$10=2,50,""))</f>
      </c>
      <c r="E7" s="268">
        <f>IF(team2!L$11=1,25,IF(team2!L$11=2,50,""))</f>
      </c>
      <c r="F7" s="268">
        <f>IF(team2!L$14=1,25,IF(team2!L$14=2,50,""))</f>
      </c>
      <c r="G7" s="268">
        <f>IF(team2!L$15=1,25,IF(team2!L$15=2,50,""))</f>
      </c>
      <c r="H7" s="267">
        <f>IF(team2!L$16=1,25,IF(team2!L$16=2,50,""))</f>
        <v>25</v>
      </c>
      <c r="I7" s="280">
        <f>12-team2!L17</f>
        <v>11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</row>
    <row r="8" spans="1:205" ht="30" customHeight="1">
      <c r="A8" s="251" t="s">
        <v>91</v>
      </c>
      <c r="B8" s="250" t="str">
        <f>IF(Master!B28="","",Master!B28)</f>
        <v>South East</v>
      </c>
      <c r="C8" s="252" t="str">
        <f>IF(Master!A28="","",Master!A28)</f>
        <v>B</v>
      </c>
      <c r="D8" s="266">
        <f>IF(team3!L$10=1,25,IF(team3!L$10=2,50,""))</f>
      </c>
      <c r="E8" s="268">
        <f>IF(team3!L$11=1,25,IF(team3!L$11=2,50,""))</f>
      </c>
      <c r="F8" s="268">
        <f>IF(team3!L$14=1,25,IF(team3!L$14=2,50,""))</f>
      </c>
      <c r="G8" s="268">
        <f>IF(team3!L$15=1,25,IF(team3!L$15=2,50,""))</f>
      </c>
      <c r="H8" s="267">
        <f>IF(team3!L$16=1,25,IF(team3!L$16=2,50,""))</f>
      </c>
      <c r="I8" s="280">
        <f>12-team3!L17</f>
        <v>12</v>
      </c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</row>
    <row r="9" spans="1:205" ht="30" customHeight="1" thickBot="1">
      <c r="A9" s="253" t="s">
        <v>92</v>
      </c>
      <c r="B9" s="254" t="str">
        <f>IF(Master!B29="","",Master!B29)</f>
        <v>South West</v>
      </c>
      <c r="C9" s="255" t="str">
        <f>IF(Master!A29="","",Master!A29)</f>
        <v>A</v>
      </c>
      <c r="D9" s="269">
        <f>IF(team4!L$10=1,25,IF(team4!L$10=2,50,""))</f>
      </c>
      <c r="E9" s="271">
        <f>IF(team4!L$11=1,25,IF(team4!L$11=2,50,""))</f>
      </c>
      <c r="F9" s="271">
        <f>IF(team4!L$14=1,25,IF(team4!L$14=2,50,""))</f>
      </c>
      <c r="G9" s="271">
        <f>IF(team4!L$15=1,25,IF(team4!L$15=2,50,""))</f>
      </c>
      <c r="H9" s="270">
        <f>IF(team4!L$16=1,25,IF(team4!L$16=2,50,""))</f>
      </c>
      <c r="I9" s="281">
        <f>12-team4!L17</f>
        <v>12</v>
      </c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</row>
    <row r="10" spans="1:205" ht="30" customHeight="1" thickBot="1">
      <c r="A10" s="242"/>
      <c r="B10" s="242"/>
      <c r="C10" s="246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</row>
    <row r="11" spans="1:205" ht="30" customHeight="1" thickBot="1">
      <c r="A11" s="244"/>
      <c r="D11" s="443" t="s">
        <v>98</v>
      </c>
      <c r="E11" s="444"/>
      <c r="F11" s="444"/>
      <c r="G11" s="444"/>
      <c r="H11" s="451"/>
      <c r="I11" s="247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</row>
    <row r="12" spans="1:205" ht="30" customHeight="1" thickBot="1">
      <c r="A12" s="243"/>
      <c r="B12" s="242"/>
      <c r="C12" s="246"/>
      <c r="D12" s="452" t="str">
        <f>Master!$B$15</f>
        <v>Ten Fox</v>
      </c>
      <c r="E12" s="452"/>
      <c r="F12" s="452" t="str">
        <f>Master!$B$16</f>
        <v>14 Step</v>
      </c>
      <c r="G12" s="452"/>
      <c r="H12" s="452"/>
      <c r="I12" s="249" t="s">
        <v>80</v>
      </c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</row>
    <row r="13" spans="1:205" ht="30" customHeight="1" thickBot="1">
      <c r="A13" s="256"/>
      <c r="B13" s="257" t="s">
        <v>93</v>
      </c>
      <c r="C13" s="258" t="s">
        <v>40</v>
      </c>
      <c r="D13" s="259" t="s">
        <v>94</v>
      </c>
      <c r="E13" s="260" t="s">
        <v>95</v>
      </c>
      <c r="F13" s="259" t="s">
        <v>96</v>
      </c>
      <c r="G13" s="261" t="s">
        <v>94</v>
      </c>
      <c r="H13" s="260" t="s">
        <v>95</v>
      </c>
      <c r="I13" s="248" t="s">
        <v>24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</row>
    <row r="14" spans="1:205" ht="30" customHeight="1" thickBot="1">
      <c r="A14" s="251" t="s">
        <v>89</v>
      </c>
      <c r="B14" s="250" t="str">
        <f>IF(Master!B26="","",Master!B26)</f>
        <v>North</v>
      </c>
      <c r="C14" s="276" t="str">
        <f>IF(Master!A26="","",Master!A26)</f>
        <v>C</v>
      </c>
      <c r="D14" s="262">
        <f>IF(team1!L$21=1,25,IF(team1!L$21=2,50,""))</f>
      </c>
      <c r="E14" s="264">
        <f>IF(team1!L$22=1,25,IF(team1!L$22=2,50,""))</f>
      </c>
      <c r="F14" s="264">
        <f>IF(team1!L$25=1,25,IF(team1!L$25=2,50,""))</f>
        <v>25</v>
      </c>
      <c r="G14" s="264">
        <f>IF(team1!L$26=1,25,IF(team1!L$26=2,50,""))</f>
        <v>25</v>
      </c>
      <c r="H14" s="263">
        <f>IF(team1!L$27=1,25,IF(team1!L$27=2,50,""))</f>
      </c>
      <c r="I14" s="265">
        <f>12-team1!L28</f>
        <v>10</v>
      </c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</row>
    <row r="15" spans="1:205" ht="30" customHeight="1" thickBot="1">
      <c r="A15" s="251" t="s">
        <v>90</v>
      </c>
      <c r="B15" s="250" t="str">
        <f>IF(Master!B27="","",Master!B27)</f>
        <v>South Central</v>
      </c>
      <c r="C15" s="276" t="str">
        <f>IF(Master!A27="","",Master!A27)</f>
        <v>D</v>
      </c>
      <c r="D15" s="262">
        <f>IF(team2!L$21=1,25,IF(team2!L$21=2,50,""))</f>
        <v>25</v>
      </c>
      <c r="E15" s="264">
        <f>IF(team2!L$22=1,25,IF(team2!L$22=2,50,""))</f>
      </c>
      <c r="F15" s="264">
        <f>IF(team2!L$25=1,25,IF(team2!L$25=2,50,""))</f>
      </c>
      <c r="G15" s="264">
        <f>IF(team2!L$26=1,25,IF(team2!L$26=2,50,""))</f>
        <v>25</v>
      </c>
      <c r="H15" s="263">
        <f>IF(team2!L$27=1,25,IF(team2!L$27=2,50,""))</f>
      </c>
      <c r="I15" s="280">
        <f>12-team2!L28</f>
        <v>10</v>
      </c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</row>
    <row r="16" spans="1:205" ht="30" customHeight="1" thickBot="1">
      <c r="A16" s="251" t="s">
        <v>91</v>
      </c>
      <c r="B16" s="250" t="str">
        <f>IF(Master!B28="","",Master!B28)</f>
        <v>South East</v>
      </c>
      <c r="C16" s="276" t="str">
        <f>IF(Master!A28="","",Master!A28)</f>
        <v>B</v>
      </c>
      <c r="D16" s="262">
        <f>IF(team3!L$21=1,25,IF(team3!L$21=2,50,""))</f>
      </c>
      <c r="E16" s="264">
        <f>IF(team3!L$22=1,25,IF(team3!L$22=2,50,""))</f>
      </c>
      <c r="F16" s="264">
        <f>IF(team3!L$25=1,25,IF(team3!L$25=2,50,""))</f>
      </c>
      <c r="G16" s="264">
        <f>IF(team3!L$26=1,25,IF(team3!L$26=2,50,""))</f>
        <v>25</v>
      </c>
      <c r="H16" s="263">
        <f>IF(team3!L$27=1,25,IF(team3!L$27=2,50,""))</f>
      </c>
      <c r="I16" s="280">
        <f>12-team3!L28</f>
        <v>11</v>
      </c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</row>
    <row r="17" spans="1:205" ht="30" customHeight="1" thickBot="1">
      <c r="A17" s="253" t="s">
        <v>92</v>
      </c>
      <c r="B17" s="254" t="str">
        <f>IF(Master!B29="","",Master!B29)</f>
        <v>South West</v>
      </c>
      <c r="C17" s="255" t="str">
        <f>IF(Master!A29="","",Master!A29)</f>
        <v>A</v>
      </c>
      <c r="D17" s="277">
        <f>IF(team4!L$21=1,25,IF(team4!L$21=2,50,""))</f>
      </c>
      <c r="E17" s="278">
        <f>IF(team4!L$22=1,25,IF(team4!L$22=2,50,""))</f>
      </c>
      <c r="F17" s="278">
        <f>IF(team4!L$25=1,25,IF(team4!L$25=2,50,""))</f>
      </c>
      <c r="G17" s="278">
        <f>IF(team4!L$26=1,25,IF(team4!L$26=2,50,""))</f>
      </c>
      <c r="H17" s="279">
        <f>IF(team4!L$27=1,25,IF(team4!L$27=2,50,""))</f>
      </c>
      <c r="I17" s="281">
        <f>12-team4!L28</f>
        <v>12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2"/>
      <c r="FS17" s="242"/>
      <c r="FT17" s="242"/>
      <c r="FU17" s="242"/>
      <c r="FV17" s="242"/>
      <c r="FW17" s="242"/>
      <c r="FX17" s="242"/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2"/>
      <c r="GJ17" s="242"/>
      <c r="GK17" s="242"/>
      <c r="GL17" s="242"/>
      <c r="GM17" s="242"/>
      <c r="GN17" s="242"/>
      <c r="GO17" s="242"/>
      <c r="GP17" s="242"/>
      <c r="GQ17" s="242"/>
      <c r="GR17" s="242"/>
      <c r="GS17" s="242"/>
      <c r="GT17" s="242"/>
      <c r="GU17" s="242"/>
      <c r="GV17" s="242"/>
      <c r="GW17" s="242"/>
    </row>
    <row r="18" spans="1:205" ht="30" customHeight="1" thickBot="1">
      <c r="A18" s="242"/>
      <c r="B18" s="242"/>
      <c r="C18" s="246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242"/>
      <c r="FL18" s="242"/>
      <c r="FM18" s="242"/>
      <c r="FN18" s="242"/>
      <c r="FO18" s="242"/>
      <c r="FP18" s="242"/>
      <c r="FQ18" s="242"/>
      <c r="FR18" s="242"/>
      <c r="FS18" s="242"/>
      <c r="FT18" s="242"/>
      <c r="FU18" s="242"/>
      <c r="FV18" s="242"/>
      <c r="FW18" s="242"/>
      <c r="FX18" s="242"/>
      <c r="FY18" s="242"/>
      <c r="FZ18" s="242"/>
      <c r="GA18" s="242"/>
      <c r="GB18" s="242"/>
      <c r="GC18" s="242"/>
      <c r="GD18" s="242"/>
      <c r="GE18" s="242"/>
      <c r="GF18" s="242"/>
      <c r="GG18" s="242"/>
      <c r="GH18" s="242"/>
      <c r="GI18" s="242"/>
      <c r="GJ18" s="242"/>
      <c r="GK18" s="242"/>
      <c r="GL18" s="242"/>
      <c r="GM18" s="242"/>
      <c r="GN18" s="242"/>
      <c r="GO18" s="242"/>
      <c r="GP18" s="242"/>
      <c r="GQ18" s="242"/>
      <c r="GR18" s="242"/>
      <c r="GS18" s="242"/>
      <c r="GT18" s="242"/>
      <c r="GU18" s="242"/>
      <c r="GV18" s="242"/>
      <c r="GW18" s="242"/>
    </row>
    <row r="19" spans="1:205" ht="30" customHeight="1" thickBot="1">
      <c r="A19" s="244"/>
      <c r="D19" s="443" t="s">
        <v>99</v>
      </c>
      <c r="E19" s="444"/>
      <c r="F19" s="444"/>
      <c r="G19" s="444"/>
      <c r="H19" s="451"/>
      <c r="I19" s="247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2"/>
      <c r="GE19" s="242"/>
      <c r="GF19" s="242"/>
      <c r="GG19" s="242"/>
      <c r="GH19" s="242"/>
      <c r="GI19" s="242"/>
      <c r="GJ19" s="242"/>
      <c r="GK19" s="242"/>
      <c r="GL19" s="242"/>
      <c r="GM19" s="242"/>
      <c r="GN19" s="242"/>
      <c r="GO19" s="242"/>
      <c r="GP19" s="242"/>
      <c r="GQ19" s="242"/>
      <c r="GR19" s="242"/>
      <c r="GS19" s="242"/>
      <c r="GT19" s="242"/>
      <c r="GU19" s="242"/>
      <c r="GV19" s="242"/>
      <c r="GW19" s="242"/>
    </row>
    <row r="20" spans="1:205" ht="30" customHeight="1" thickBot="1">
      <c r="A20" s="243"/>
      <c r="B20" s="242"/>
      <c r="C20" s="246"/>
      <c r="D20" s="452" t="str">
        <f>Master!$B$21</f>
        <v>Blues</v>
      </c>
      <c r="E20" s="452"/>
      <c r="F20" s="452" t="str">
        <f>Master!$B$22</f>
        <v>Westminster Waltz</v>
      </c>
      <c r="G20" s="452"/>
      <c r="H20" s="452"/>
      <c r="I20" s="249" t="s">
        <v>80</v>
      </c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2"/>
      <c r="FL20" s="242"/>
      <c r="FM20" s="242"/>
      <c r="FN20" s="242"/>
      <c r="FO20" s="242"/>
      <c r="FP20" s="242"/>
      <c r="FQ20" s="242"/>
      <c r="FR20" s="242"/>
      <c r="FS20" s="242"/>
      <c r="FT20" s="242"/>
      <c r="FU20" s="242"/>
      <c r="FV20" s="242"/>
      <c r="FW20" s="242"/>
      <c r="FX20" s="242"/>
      <c r="FY20" s="242"/>
      <c r="FZ20" s="242"/>
      <c r="GA20" s="242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242"/>
      <c r="GM20" s="242"/>
      <c r="GN20" s="242"/>
      <c r="GO20" s="242"/>
      <c r="GP20" s="242"/>
      <c r="GQ20" s="242"/>
      <c r="GR20" s="242"/>
      <c r="GS20" s="242"/>
      <c r="GT20" s="242"/>
      <c r="GU20" s="242"/>
      <c r="GV20" s="242"/>
      <c r="GW20" s="242"/>
    </row>
    <row r="21" spans="1:205" ht="30" customHeight="1" thickBot="1">
      <c r="A21" s="256"/>
      <c r="B21" s="257" t="s">
        <v>93</v>
      </c>
      <c r="C21" s="258" t="s">
        <v>40</v>
      </c>
      <c r="D21" s="259" t="s">
        <v>94</v>
      </c>
      <c r="E21" s="260" t="s">
        <v>95</v>
      </c>
      <c r="F21" s="259" t="s">
        <v>96</v>
      </c>
      <c r="G21" s="261" t="s">
        <v>94</v>
      </c>
      <c r="H21" s="260" t="s">
        <v>95</v>
      </c>
      <c r="I21" s="248" t="s">
        <v>24</v>
      </c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42"/>
      <c r="FL21" s="242"/>
      <c r="FM21" s="242"/>
      <c r="FN21" s="242"/>
      <c r="FO21" s="242"/>
      <c r="FP21" s="242"/>
      <c r="FQ21" s="242"/>
      <c r="FR21" s="242"/>
      <c r="FS21" s="242"/>
      <c r="FT21" s="242"/>
      <c r="FU21" s="242"/>
      <c r="FV21" s="242"/>
      <c r="FW21" s="242"/>
      <c r="FX21" s="242"/>
      <c r="FY21" s="242"/>
      <c r="FZ21" s="242"/>
      <c r="GA21" s="242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242"/>
      <c r="GM21" s="242"/>
      <c r="GN21" s="242"/>
      <c r="GO21" s="242"/>
      <c r="GP21" s="242"/>
      <c r="GQ21" s="242"/>
      <c r="GR21" s="242"/>
      <c r="GS21" s="242"/>
      <c r="GT21" s="242"/>
      <c r="GU21" s="242"/>
      <c r="GV21" s="242"/>
      <c r="GW21" s="242"/>
    </row>
    <row r="22" spans="1:205" ht="30" customHeight="1" thickBot="1">
      <c r="A22" s="251" t="s">
        <v>89</v>
      </c>
      <c r="B22" s="250" t="str">
        <f>IF(Master!B26="","",Master!B26)</f>
        <v>North</v>
      </c>
      <c r="C22" s="276" t="str">
        <f>IF(Master!A26="","",Master!A26)</f>
        <v>C</v>
      </c>
      <c r="D22" s="262">
        <f>IF(team1!L$32=1,25,IF(team1!L$32=2,50,""))</f>
      </c>
      <c r="E22" s="264">
        <f>IF(team1!L$33=1,25,IF(team1!L$33=2,50,""))</f>
        <v>50</v>
      </c>
      <c r="F22" s="264">
        <f>IF(team1!L$36=1,25,IF(team1!L$36=2,50,""))</f>
      </c>
      <c r="G22" s="264">
        <f>IF(team1!L$37=1,25,IF(team1!L$37=2,50,""))</f>
        <v>50</v>
      </c>
      <c r="H22" s="263">
        <f>IF(team1!L$38=1,25,IF(team1!L$38=2,50,""))</f>
        <v>50</v>
      </c>
      <c r="I22" s="265">
        <f>12-team1!L39</f>
        <v>6</v>
      </c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</row>
    <row r="23" spans="1:205" ht="30" customHeight="1" thickBot="1">
      <c r="A23" s="251" t="s">
        <v>90</v>
      </c>
      <c r="B23" s="250" t="str">
        <f>IF(Master!B27="","",Master!B27)</f>
        <v>South Central</v>
      </c>
      <c r="C23" s="276" t="str">
        <f>IF(Master!A27="","",Master!A27)</f>
        <v>D</v>
      </c>
      <c r="D23" s="262">
        <f>IF(team2!L$32=1,25,IF(team2!L$32=2,50,""))</f>
      </c>
      <c r="E23" s="264">
        <f>IF(team2!L$33=1,25,IF(team2!L$33=2,50,""))</f>
        <v>25</v>
      </c>
      <c r="F23" s="264">
        <f>IF(team2!L$36=1,25,IF(team2!L$36=2,50,""))</f>
      </c>
      <c r="G23" s="264">
        <f>IF(team2!L$37=1,25,IF(team2!L$37=2,50,""))</f>
        <v>50</v>
      </c>
      <c r="H23" s="263">
        <f>IF(team2!L$38=1,25,IF(team2!L$38=2,50,""))</f>
        <v>50</v>
      </c>
      <c r="I23" s="265">
        <f>12-team2!L39</f>
        <v>7</v>
      </c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2"/>
      <c r="FV23" s="242"/>
      <c r="FW23" s="242"/>
      <c r="FX23" s="242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42"/>
      <c r="GM23" s="242"/>
      <c r="GN23" s="242"/>
      <c r="GO23" s="242"/>
      <c r="GP23" s="242"/>
      <c r="GQ23" s="242"/>
      <c r="GR23" s="242"/>
      <c r="GS23" s="242"/>
      <c r="GT23" s="242"/>
      <c r="GU23" s="242"/>
      <c r="GV23" s="242"/>
      <c r="GW23" s="242"/>
    </row>
    <row r="24" spans="1:205" ht="30" customHeight="1" thickBot="1">
      <c r="A24" s="251" t="s">
        <v>91</v>
      </c>
      <c r="B24" s="250" t="str">
        <f>IF(Master!B28="","",Master!B28)</f>
        <v>South East</v>
      </c>
      <c r="C24" s="276" t="str">
        <f>IF(Master!A28="","",Master!A28)</f>
        <v>B</v>
      </c>
      <c r="D24" s="262">
        <f>IF(team3!L$32=1,25,IF(team3!L$32=2,50,""))</f>
        <v>25</v>
      </c>
      <c r="E24" s="264">
        <f>IF(team3!L$33=1,25,IF(team3!L$33=2,50,""))</f>
      </c>
      <c r="F24" s="264">
        <f>IF(team3!L$36=1,25,IF(team3!L$36=2,50,""))</f>
        <v>50</v>
      </c>
      <c r="G24" s="264">
        <f>IF(team3!L$37=1,25,IF(team3!L$37=2,50,""))</f>
        <v>25</v>
      </c>
      <c r="H24" s="263">
        <f>IF(team3!L$38=1,25,IF(team3!L$38=2,50,""))</f>
        <v>50</v>
      </c>
      <c r="I24" s="265">
        <f>12-team3!L39</f>
        <v>6</v>
      </c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</row>
    <row r="25" spans="1:205" ht="30" customHeight="1" thickBot="1">
      <c r="A25" s="253" t="s">
        <v>92</v>
      </c>
      <c r="B25" s="254" t="str">
        <f>IF(Master!B29="","",Master!B29)</f>
        <v>South West</v>
      </c>
      <c r="C25" s="255" t="str">
        <f>IF(Master!A29="","",Master!A29)</f>
        <v>A</v>
      </c>
      <c r="D25" s="262">
        <f>IF(team4!L$32=1,25,IF(team4!L$32=2,50,""))</f>
      </c>
      <c r="E25" s="264">
        <f>IF(team4!L$33=1,25,IF(team4!L$33=2,50,""))</f>
        <v>25</v>
      </c>
      <c r="F25" s="264">
        <f>IF(team4!L$36=1,25,IF(team4!L$36=2,50,""))</f>
      </c>
      <c r="G25" s="264">
        <f>IF(team4!L$37=1,25,IF(team4!L$37=2,50,""))</f>
        <v>50</v>
      </c>
      <c r="H25" s="263">
        <f>IF(team4!L$38=1,25,IF(team4!L$38=2,50,""))</f>
        <v>50</v>
      </c>
      <c r="I25" s="265">
        <f>12-team4!L39</f>
        <v>7</v>
      </c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</row>
    <row r="26" spans="1:205" ht="30" customHeight="1">
      <c r="A26" s="242"/>
      <c r="B26" s="242"/>
      <c r="C26" s="246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242"/>
      <c r="FG26" s="242"/>
      <c r="FH26" s="242"/>
      <c r="FI26" s="242"/>
      <c r="FJ26" s="242"/>
      <c r="FK26" s="242"/>
      <c r="FL26" s="242"/>
      <c r="FM26" s="242"/>
      <c r="FN26" s="242"/>
      <c r="FO26" s="242"/>
      <c r="FP26" s="242"/>
      <c r="FQ26" s="242"/>
      <c r="FR26" s="242"/>
      <c r="FS26" s="242"/>
      <c r="FT26" s="242"/>
      <c r="FU26" s="242"/>
      <c r="FV26" s="242"/>
      <c r="FW26" s="242"/>
      <c r="FX26" s="242"/>
      <c r="FY26" s="242"/>
      <c r="FZ26" s="242"/>
      <c r="GA26" s="242"/>
      <c r="GB26" s="242"/>
      <c r="GC26" s="242"/>
      <c r="GD26" s="242"/>
      <c r="GE26" s="242"/>
      <c r="GF26" s="242"/>
      <c r="GG26" s="242"/>
      <c r="GH26" s="242"/>
      <c r="GI26" s="242"/>
      <c r="GJ26" s="242"/>
      <c r="GK26" s="242"/>
      <c r="GL26" s="242"/>
      <c r="GM26" s="242"/>
      <c r="GN26" s="242"/>
      <c r="GO26" s="242"/>
      <c r="GP26" s="242"/>
      <c r="GQ26" s="242"/>
      <c r="GR26" s="242"/>
      <c r="GS26" s="242"/>
      <c r="GT26" s="242"/>
      <c r="GU26" s="242"/>
      <c r="GV26" s="242"/>
      <c r="GW26" s="242"/>
    </row>
    <row r="27" spans="1:205" ht="30" customHeight="1">
      <c r="A27" s="242"/>
      <c r="B27" s="242"/>
      <c r="C27" s="246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242"/>
      <c r="FN27" s="242"/>
      <c r="FO27" s="242"/>
      <c r="FP27" s="242"/>
      <c r="FQ27" s="242"/>
      <c r="FR27" s="242"/>
      <c r="FS27" s="242"/>
      <c r="FT27" s="242"/>
      <c r="FU27" s="242"/>
      <c r="FV27" s="242"/>
      <c r="FW27" s="242"/>
      <c r="FX27" s="242"/>
      <c r="FY27" s="242"/>
      <c r="FZ27" s="242"/>
      <c r="GA27" s="242"/>
      <c r="GB27" s="242"/>
      <c r="GC27" s="242"/>
      <c r="GD27" s="242"/>
      <c r="GE27" s="242"/>
      <c r="GF27" s="242"/>
      <c r="GG27" s="242"/>
      <c r="GH27" s="242"/>
      <c r="GI27" s="242"/>
      <c r="GJ27" s="242"/>
      <c r="GK27" s="242"/>
      <c r="GL27" s="242"/>
      <c r="GM27" s="242"/>
      <c r="GN27" s="242"/>
      <c r="GO27" s="242"/>
      <c r="GP27" s="242"/>
      <c r="GQ27" s="242"/>
      <c r="GR27" s="242"/>
      <c r="GS27" s="242"/>
      <c r="GT27" s="242"/>
      <c r="GU27" s="242"/>
      <c r="GV27" s="242"/>
      <c r="GW27" s="242"/>
    </row>
    <row r="28" spans="1:205" ht="30" customHeight="1">
      <c r="A28" s="244" t="s">
        <v>119</v>
      </c>
      <c r="B28" s="242"/>
      <c r="C28" s="246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242"/>
      <c r="FG28" s="242"/>
      <c r="FH28" s="242"/>
      <c r="FI28" s="242"/>
      <c r="FJ28" s="242"/>
      <c r="FK28" s="242"/>
      <c r="FL28" s="242"/>
      <c r="FM28" s="242"/>
      <c r="FN28" s="242"/>
      <c r="FO28" s="242"/>
      <c r="FP28" s="242"/>
      <c r="FQ28" s="242"/>
      <c r="FR28" s="242"/>
      <c r="FS28" s="242"/>
      <c r="FT28" s="242"/>
      <c r="FU28" s="242"/>
      <c r="FV28" s="242"/>
      <c r="FW28" s="242"/>
      <c r="FX28" s="242"/>
      <c r="FY28" s="242"/>
      <c r="FZ28" s="242"/>
      <c r="GA28" s="242"/>
      <c r="GB28" s="242"/>
      <c r="GC28" s="242"/>
      <c r="GD28" s="242"/>
      <c r="GE28" s="242"/>
      <c r="GF28" s="242"/>
      <c r="GG28" s="242"/>
      <c r="GH28" s="242"/>
      <c r="GI28" s="242"/>
      <c r="GJ28" s="242"/>
      <c r="GK28" s="242"/>
      <c r="GL28" s="242"/>
      <c r="GM28" s="242"/>
      <c r="GN28" s="242"/>
      <c r="GO28" s="242"/>
      <c r="GP28" s="242"/>
      <c r="GQ28" s="242"/>
      <c r="GR28" s="242"/>
      <c r="GS28" s="242"/>
      <c r="GT28" s="242"/>
      <c r="GU28" s="242"/>
      <c r="GV28" s="242"/>
      <c r="GW28" s="242"/>
    </row>
    <row r="29" spans="1:205" ht="30" customHeight="1" thickBot="1">
      <c r="A29" s="242"/>
      <c r="B29" s="242"/>
      <c r="C29" s="246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242"/>
      <c r="FG29" s="242"/>
      <c r="FH29" s="242"/>
      <c r="FI29" s="242"/>
      <c r="FJ29" s="242"/>
      <c r="FK29" s="242"/>
      <c r="FL29" s="242"/>
      <c r="FM29" s="242"/>
      <c r="FN29" s="242"/>
      <c r="FO29" s="242"/>
      <c r="FP29" s="242"/>
      <c r="FQ29" s="242"/>
      <c r="FR29" s="242"/>
      <c r="FS29" s="242"/>
      <c r="FT29" s="242"/>
      <c r="FU29" s="242"/>
      <c r="FV29" s="242"/>
      <c r="FW29" s="242"/>
      <c r="FX29" s="242"/>
      <c r="FY29" s="242"/>
      <c r="FZ29" s="242"/>
      <c r="GA29" s="242"/>
      <c r="GB29" s="242"/>
      <c r="GC29" s="242"/>
      <c r="GD29" s="242"/>
      <c r="GE29" s="242"/>
      <c r="GF29" s="242"/>
      <c r="GG29" s="242"/>
      <c r="GH29" s="242"/>
      <c r="GI29" s="242"/>
      <c r="GJ29" s="242"/>
      <c r="GK29" s="242"/>
      <c r="GL29" s="242"/>
      <c r="GM29" s="242"/>
      <c r="GN29" s="242"/>
      <c r="GO29" s="242"/>
      <c r="GP29" s="242"/>
      <c r="GQ29" s="242"/>
      <c r="GR29" s="242"/>
      <c r="GS29" s="242"/>
      <c r="GT29" s="242"/>
      <c r="GU29" s="242"/>
      <c r="GV29" s="242"/>
      <c r="GW29" s="242"/>
    </row>
    <row r="30" spans="1:205" ht="30" customHeight="1" thickBot="1">
      <c r="A30" s="244"/>
      <c r="D30" s="443" t="s">
        <v>120</v>
      </c>
      <c r="E30" s="444"/>
      <c r="F30" s="444"/>
      <c r="G30" s="444"/>
      <c r="H30" s="444"/>
      <c r="I30" s="445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242"/>
      <c r="FG30" s="242"/>
      <c r="FH30" s="242"/>
      <c r="FI30" s="242"/>
      <c r="FJ30" s="242"/>
      <c r="FK30" s="242"/>
      <c r="FL30" s="242"/>
      <c r="FM30" s="242"/>
      <c r="FN30" s="242"/>
      <c r="FO30" s="242"/>
      <c r="FP30" s="242"/>
      <c r="FQ30" s="242"/>
      <c r="FR30" s="242"/>
      <c r="FS30" s="242"/>
      <c r="FT30" s="242"/>
      <c r="FU30" s="242"/>
      <c r="FV30" s="242"/>
      <c r="FW30" s="242"/>
      <c r="FX30" s="242"/>
      <c r="FY30" s="242"/>
      <c r="FZ30" s="242"/>
      <c r="GA30" s="242"/>
      <c r="GB30" s="242"/>
      <c r="GC30" s="242"/>
      <c r="GD30" s="242"/>
      <c r="GE30" s="242"/>
      <c r="GF30" s="242"/>
      <c r="GG30" s="242"/>
      <c r="GH30" s="242"/>
      <c r="GI30" s="242"/>
      <c r="GJ30" s="242"/>
      <c r="GK30" s="242"/>
      <c r="GL30" s="242"/>
      <c r="GM30" s="242"/>
      <c r="GN30" s="242"/>
      <c r="GO30" s="242"/>
      <c r="GP30" s="242"/>
      <c r="GQ30" s="242"/>
      <c r="GR30" s="242"/>
      <c r="GS30" s="242"/>
      <c r="GT30" s="242"/>
      <c r="GU30" s="242"/>
      <c r="GV30" s="242"/>
      <c r="GW30" s="242"/>
    </row>
    <row r="31" spans="1:205" ht="30" customHeight="1" thickBot="1">
      <c r="A31" s="243"/>
      <c r="B31" s="242"/>
      <c r="C31" s="246"/>
      <c r="D31" s="446" t="str">
        <f>Master!$B$9</f>
        <v>Golden Skaters Waltz</v>
      </c>
      <c r="E31" s="447"/>
      <c r="F31" s="448"/>
      <c r="G31" s="446" t="str">
        <f>Master!$B$10</f>
        <v>Riverside Rhumba</v>
      </c>
      <c r="H31" s="449"/>
      <c r="I31" s="450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242"/>
      <c r="FG31" s="242"/>
      <c r="FH31" s="242"/>
      <c r="FI31" s="242"/>
      <c r="FJ31" s="242"/>
      <c r="FK31" s="242"/>
      <c r="FL31" s="242"/>
      <c r="FM31" s="242"/>
      <c r="FN31" s="242"/>
      <c r="FO31" s="242"/>
      <c r="FP31" s="242"/>
      <c r="FQ31" s="242"/>
      <c r="FR31" s="242"/>
      <c r="FS31" s="242"/>
      <c r="FT31" s="242"/>
      <c r="FU31" s="242"/>
      <c r="FV31" s="242"/>
      <c r="FW31" s="242"/>
      <c r="FX31" s="242"/>
      <c r="FY31" s="242"/>
      <c r="FZ31" s="242"/>
      <c r="GA31" s="242"/>
      <c r="GB31" s="242"/>
      <c r="GC31" s="242"/>
      <c r="GD31" s="242"/>
      <c r="GE31" s="242"/>
      <c r="GF31" s="242"/>
      <c r="GG31" s="242"/>
      <c r="GH31" s="242"/>
      <c r="GI31" s="242"/>
      <c r="GJ31" s="242"/>
      <c r="GK31" s="242"/>
      <c r="GL31" s="242"/>
      <c r="GM31" s="242"/>
      <c r="GN31" s="242"/>
      <c r="GO31" s="242"/>
      <c r="GP31" s="242"/>
      <c r="GQ31" s="242"/>
      <c r="GR31" s="242"/>
      <c r="GS31" s="242"/>
      <c r="GT31" s="242"/>
      <c r="GU31" s="242"/>
      <c r="GV31" s="242"/>
      <c r="GW31" s="242"/>
    </row>
    <row r="32" spans="1:9" ht="30" customHeight="1" thickBot="1">
      <c r="A32" s="297" t="s">
        <v>40</v>
      </c>
      <c r="B32" s="257" t="s">
        <v>93</v>
      </c>
      <c r="C32" s="258"/>
      <c r="D32" s="259" t="s">
        <v>96</v>
      </c>
      <c r="E32" s="261" t="s">
        <v>94</v>
      </c>
      <c r="F32" s="260" t="s">
        <v>95</v>
      </c>
      <c r="G32" s="259" t="s">
        <v>96</v>
      </c>
      <c r="H32" s="261" t="s">
        <v>94</v>
      </c>
      <c r="I32" s="260" t="s">
        <v>95</v>
      </c>
    </row>
    <row r="33" spans="1:9" ht="30" customHeight="1">
      <c r="A33" s="295" t="s">
        <v>1</v>
      </c>
      <c r="B33" s="250" t="str">
        <f>VLOOKUP(A33,Master!A$26:B$29,2,FALSE)</f>
        <v>South West</v>
      </c>
      <c r="C33" s="252"/>
      <c r="D33" s="262" t="str">
        <f>IF(Jnr!$K$10=6,"won",IF(Jnr!$K$10=4,"drew",IF(Jnr!$K$10=2,"lost","")))</f>
        <v>lost</v>
      </c>
      <c r="E33" s="264" t="str">
        <f>IF(Jnr!$K$13=6,"won",IF(Jnr!$K$13=4,"drew",IF(Jnr!$K$13=2,"lost","")))</f>
        <v>won</v>
      </c>
      <c r="F33" s="263" t="str">
        <f>IF(Jnr!$K$15=6,"won",IF(Jnr!$K$15=4,"drew",IF(Jnr!$K$15=2,"lost","")))</f>
        <v>lost</v>
      </c>
      <c r="G33" s="262" t="str">
        <f>IF(Jnr!$K$21=6,"won",IF(Jnr!$K$21=4,"drew",IF(Jnr!$K$21=2,"lost","")))</f>
        <v>won</v>
      </c>
      <c r="H33" s="264" t="str">
        <f>IF(Jnr!$K$24=6,"won",IF(Jnr!$K$24=4,"drew",IF(Jnr!$K$24=2,"lost","")))</f>
        <v>won</v>
      </c>
      <c r="I33" s="263" t="str">
        <f>IF(Jnr!$K$26=6,"won",IF(Jnr!$K$26=4,"drew",IF(Jnr!$K$26=2,"lost","")))</f>
        <v>lost</v>
      </c>
    </row>
    <row r="34" spans="1:9" ht="30" customHeight="1">
      <c r="A34" s="295" t="s">
        <v>2</v>
      </c>
      <c r="B34" s="250" t="str">
        <f>VLOOKUP(A34,Master!A$26:B$29,2,FALSE)</f>
        <v>South East</v>
      </c>
      <c r="C34" s="252"/>
      <c r="D34" s="266" t="str">
        <f>IF(Jnr!$L$10=6,"won",IF(Jnr!$L$10=4,"drew",IF(Jnr!$L$10=2,"lost","")))</f>
        <v>won</v>
      </c>
      <c r="E34" s="268" t="str">
        <f>IF(Jnr!$L$12=6,"won",IF(Jnr!$L$12=4,"drew",IF(Jnr!$L$12=2,"lost","")))</f>
        <v>lost</v>
      </c>
      <c r="F34" s="267" t="str">
        <f>IF(Jnr!$L$14=6,"won",IF(Jnr!$L$14=4,"drew",IF(Jnr!$L$14=2,"lost","")))</f>
        <v>won</v>
      </c>
      <c r="G34" s="266" t="str">
        <f>IF(Jnr!$L$21=6,"won",IF(Jnr!$L$21=4,"drew",IF(Jnr!$L$21=2,"lost","")))</f>
        <v>lost</v>
      </c>
      <c r="H34" s="268" t="str">
        <f>IF(Jnr!$L$23=6,"won",IF(Jnr!$L$23=4,"drew",IF(Jnr!$L$23=2,"lost","")))</f>
        <v>lost</v>
      </c>
      <c r="I34" s="267" t="str">
        <f>IF(Jnr!$L$25=6,"won",IF(Jnr!$L$25=4,"drew",IF(Jnr!$L$25=2,"lost","")))</f>
        <v>lost</v>
      </c>
    </row>
    <row r="35" spans="1:9" ht="30" customHeight="1">
      <c r="A35" s="295" t="s">
        <v>3</v>
      </c>
      <c r="B35" s="250" t="str">
        <f>VLOOKUP(A35,Master!A$26:B$29,2,FALSE)</f>
        <v>North</v>
      </c>
      <c r="C35" s="252"/>
      <c r="D35" s="266" t="str">
        <f>IF(Jnr!$M$11=6,"won",IF(Jnr!$M$11=4,"drew",IF(Jnr!$M$11=2,"lost","")))</f>
        <v>lost</v>
      </c>
      <c r="E35" s="268" t="str">
        <f>IF(Jnr!$M$12=6,"won",IF(Jnr!$M$12=4,"drew",IF(Jnr!$M$12=2,"lost","")))</f>
        <v>won</v>
      </c>
      <c r="F35" s="267" t="str">
        <f>IF(Jnr!$M$15=6,"won",IF(Jnr!$M$15=4,"drew",IF(Jnr!$M$15=2,"lost","")))</f>
        <v>won</v>
      </c>
      <c r="G35" s="266" t="str">
        <f>IF(Jnr!$M$22=6,"won",IF(Jnr!$M$22=4,"drew",IF(Jnr!$M$22=2,"lost","")))</f>
        <v>lost</v>
      </c>
      <c r="H35" s="268" t="str">
        <f>IF(Jnr!$M$23=6,"won",IF(Jnr!$M$23=4,"drew",IF(Jnr!$M$23=2,"lost","")))</f>
        <v>won</v>
      </c>
      <c r="I35" s="267" t="str">
        <f>IF(Jnr!$M$26=6,"won",IF(Jnr!$M$26=4,"drew",IF(Jnr!$M$26=2,"lost","")))</f>
        <v>won</v>
      </c>
    </row>
    <row r="36" spans="1:9" ht="30" customHeight="1" thickBot="1">
      <c r="A36" s="296" t="s">
        <v>4</v>
      </c>
      <c r="B36" s="254" t="str">
        <f>VLOOKUP(A36,Master!A$26:B$29,2,FALSE)</f>
        <v>South Central</v>
      </c>
      <c r="C36" s="255"/>
      <c r="D36" s="269" t="str">
        <f>IF(Jnr!$N$11=6,"won",IF(Jnr!$N$11=4,"drew",IF(Jnr!$N$11=2,"lost","")))</f>
        <v>won</v>
      </c>
      <c r="E36" s="271" t="str">
        <f>IF(Jnr!$N$13=6,"won",IF(Jnr!$N$13=4,"drew",IF(Jnr!$N$13=2,"lost","")))</f>
        <v>lost</v>
      </c>
      <c r="F36" s="270" t="str">
        <f>IF(Jnr!$N$14=6,"won",IF(Jnr!$N$14=4,"drew",IF(Jnr!$N$14=2,"lost","")))</f>
        <v>lost</v>
      </c>
      <c r="G36" s="269" t="str">
        <f>IF(Jnr!$N$22=6,"won",IF(Jnr!$N$22=4,"drew",IF(Jnr!$N$22=2,"lost","")))</f>
        <v>won</v>
      </c>
      <c r="H36" s="271" t="str">
        <f>IF(Jnr!$N$24=6,"won",IF(Jnr!$N$24=4,"drew",IF(Jnr!$N$24=2,"lost","")))</f>
        <v>lost</v>
      </c>
      <c r="I36" s="270" t="str">
        <f>IF(Jnr!$N$25=6,"won",IF(Jnr!$N$25=4,"drew",IF(Jnr!$N$25=2,"lost","")))</f>
        <v>won</v>
      </c>
    </row>
    <row r="37" ht="30" customHeight="1" thickBot="1"/>
    <row r="38" spans="1:9" ht="30" customHeight="1" thickBot="1">
      <c r="A38" s="244"/>
      <c r="D38" s="443" t="s">
        <v>121</v>
      </c>
      <c r="E38" s="444"/>
      <c r="F38" s="444"/>
      <c r="G38" s="444"/>
      <c r="H38" s="444"/>
      <c r="I38" s="445"/>
    </row>
    <row r="39" spans="1:9" ht="30" customHeight="1" thickBot="1">
      <c r="A39" s="243"/>
      <c r="B39" s="242"/>
      <c r="C39" s="246"/>
      <c r="D39" s="446" t="str">
        <f>Master!$B$15</f>
        <v>Ten Fox</v>
      </c>
      <c r="E39" s="447"/>
      <c r="F39" s="448"/>
      <c r="G39" s="446" t="str">
        <f>Master!$B$16</f>
        <v>14 Step</v>
      </c>
      <c r="H39" s="449"/>
      <c r="I39" s="450"/>
    </row>
    <row r="40" spans="1:9" ht="30" customHeight="1" thickBot="1">
      <c r="A40" s="297" t="s">
        <v>40</v>
      </c>
      <c r="B40" s="257" t="s">
        <v>93</v>
      </c>
      <c r="C40" s="258"/>
      <c r="D40" s="259" t="s">
        <v>96</v>
      </c>
      <c r="E40" s="261" t="s">
        <v>94</v>
      </c>
      <c r="F40" s="260" t="s">
        <v>95</v>
      </c>
      <c r="G40" s="259" t="s">
        <v>96</v>
      </c>
      <c r="H40" s="261" t="s">
        <v>94</v>
      </c>
      <c r="I40" s="260" t="s">
        <v>95</v>
      </c>
    </row>
    <row r="41" spans="1:9" ht="30" customHeight="1">
      <c r="A41" s="295" t="s">
        <v>1</v>
      </c>
      <c r="B41" s="250" t="str">
        <f>VLOOKUP(A41,Master!A$26:B$29,2,FALSE)</f>
        <v>South West</v>
      </c>
      <c r="C41" s="252"/>
      <c r="D41" s="262" t="str">
        <f>IF(Inter!$K$10=6,"won",IF(Inter!$K$10=4,"drew",IF(Inter!$K$10=2,"lost","")))</f>
        <v>lost</v>
      </c>
      <c r="E41" s="264" t="str">
        <f>IF(Inter!$K$13=6,"won",IF(Inter!$K$13=4,"drew",IF(Inter!$K$13=2,"lost","")))</f>
        <v>lost</v>
      </c>
      <c r="F41" s="263" t="str">
        <f>IF(Inter!$K$15=6,"won",IF(Inter!$K$15=4,"drew",IF(Inter!$K$15=2,"lost","")))</f>
        <v>won</v>
      </c>
      <c r="G41" s="262" t="str">
        <f>IF(Inter!$K$21=6,"won",IF(Inter!$K$21=4,"drew",IF(Inter!$K$21=2,"lost","")))</f>
        <v>lost</v>
      </c>
      <c r="H41" s="264" t="str">
        <f>IF(Inter!$K$24=6,"won",IF(Inter!$K$24=4,"drew",IF(Inter!$K$24=2,"lost","")))</f>
        <v>won</v>
      </c>
      <c r="I41" s="263" t="str">
        <f>IF(Inter!$K$26=6,"won",IF(Inter!$K$26=4,"drew",IF(Inter!$K$26=2,"lost","")))</f>
        <v>lost</v>
      </c>
    </row>
    <row r="42" spans="1:9" ht="30" customHeight="1">
      <c r="A42" s="295" t="s">
        <v>2</v>
      </c>
      <c r="B42" s="250" t="str">
        <f>VLOOKUP(A42,Master!A$26:B$29,2,FALSE)</f>
        <v>South East</v>
      </c>
      <c r="C42" s="252"/>
      <c r="D42" s="266" t="str">
        <f>IF(Inter!$L$10=6,"won",IF(Inter!$L$10=4,"drew",IF(Inter!$L$10=2,"lost","")))</f>
        <v>won</v>
      </c>
      <c r="E42" s="268" t="str">
        <f>IF(Inter!$L$12=6,"won",IF(Inter!$L$12=4,"drew",IF(Inter!$L$12=2,"lost","")))</f>
        <v>lost</v>
      </c>
      <c r="F42" s="267" t="str">
        <f>IF(Inter!$L$14=6,"won",IF(Inter!$L$14=4,"drew",IF(Inter!$L$14=2,"lost","")))</f>
        <v>won</v>
      </c>
      <c r="G42" s="266" t="str">
        <f>IF(Inter!$L$21=6,"won",IF(Inter!$L$21=4,"drew",IF(Inter!$L$21=2,"lost","")))</f>
        <v>won</v>
      </c>
      <c r="H42" s="268" t="str">
        <f>IF(Inter!$L$23=6,"won",IF(Inter!$L$23=4,"drew",IF(Inter!$L$23=2,"lost","")))</f>
        <v>lost</v>
      </c>
      <c r="I42" s="267" t="str">
        <f>IF(Inter!$L$25=6,"won",IF(Inter!$L$25=4,"drew",IF(Inter!$L$25=2,"lost","")))</f>
        <v>lost</v>
      </c>
    </row>
    <row r="43" spans="1:9" ht="30" customHeight="1">
      <c r="A43" s="295" t="s">
        <v>3</v>
      </c>
      <c r="B43" s="250" t="str">
        <f>VLOOKUP(A43,Master!A$26:B$29,2,FALSE)</f>
        <v>North</v>
      </c>
      <c r="C43" s="252"/>
      <c r="D43" s="266" t="str">
        <f>IF(Inter!$M$11=6,"won",IF(Inter!$M$11=4,"drew",IF(Inter!$M$11=2,"lost","")))</f>
        <v>won</v>
      </c>
      <c r="E43" s="268" t="str">
        <f>IF(Inter!$M$12=6,"won",IF(Inter!$M$12=4,"drew",IF(Inter!$M$12=2,"lost","")))</f>
        <v>won</v>
      </c>
      <c r="F43" s="267" t="str">
        <f>IF(Inter!$M$15=6,"won",IF(Inter!$M$15=4,"drew",IF(Inter!$M$15=2,"lost","")))</f>
        <v>lost</v>
      </c>
      <c r="G43" s="266" t="str">
        <f>IF(Inter!$M$22=6,"won",IF(Inter!$M$22=4,"drew",IF(Inter!$M$22=2,"lost","")))</f>
        <v>won</v>
      </c>
      <c r="H43" s="268" t="str">
        <f>IF(Inter!$M$23=6,"won",IF(Inter!$M$23=4,"drew",IF(Inter!$M$23=2,"lost","")))</f>
        <v>won</v>
      </c>
      <c r="I43" s="267" t="str">
        <f>IF(Inter!$M$26=6,"won",IF(Inter!$M$26=4,"drew",IF(Inter!$M$26=2,"lost","")))</f>
        <v>won</v>
      </c>
    </row>
    <row r="44" spans="1:9" ht="30" customHeight="1" thickBot="1">
      <c r="A44" s="296" t="s">
        <v>4</v>
      </c>
      <c r="B44" s="254" t="str">
        <f>VLOOKUP(A44,Master!A$26:B$29,2,FALSE)</f>
        <v>South Central</v>
      </c>
      <c r="C44" s="255"/>
      <c r="D44" s="269" t="str">
        <f>IF(Inter!$N$11=6,"won",IF(Inter!$N$11=4,"drew",IF(Inter!$N$11=2,"lost","")))</f>
        <v>lost</v>
      </c>
      <c r="E44" s="271" t="str">
        <f>IF(Inter!$N$13=6,"won",IF(Inter!$N$13=4,"drew",IF(Inter!$N$13=2,"lost","")))</f>
        <v>won</v>
      </c>
      <c r="F44" s="270" t="str">
        <f>IF(Inter!$N$14=6,"won",IF(Inter!$N$14=4,"drew",IF(Inter!$N$14=2,"lost","")))</f>
        <v>lost</v>
      </c>
      <c r="G44" s="269" t="str">
        <f>IF(Inter!$N$22=6,"won",IF(Inter!$N$22=4,"drew",IF(Inter!$N$22=2,"lost","")))</f>
        <v>lost</v>
      </c>
      <c r="H44" s="271" t="str">
        <f>IF(Inter!$N$24=6,"won",IF(Inter!$N$24=4,"drew",IF(Inter!$N$24=2,"lost","")))</f>
        <v>lost</v>
      </c>
      <c r="I44" s="270" t="str">
        <f>IF(Inter!$N$25=6,"won",IF(Inter!$N$25=4,"drew",IF(Inter!$N$25=2,"lost","")))</f>
        <v>won</v>
      </c>
    </row>
    <row r="45" ht="30" customHeight="1" thickBot="1"/>
    <row r="46" spans="1:9" ht="30" customHeight="1" thickBot="1">
      <c r="A46" s="244"/>
      <c r="D46" s="443" t="s">
        <v>122</v>
      </c>
      <c r="E46" s="444"/>
      <c r="F46" s="444"/>
      <c r="G46" s="444"/>
      <c r="H46" s="444"/>
      <c r="I46" s="445"/>
    </row>
    <row r="47" spans="1:9" ht="30" customHeight="1" thickBot="1">
      <c r="A47" s="243"/>
      <c r="B47" s="242"/>
      <c r="C47" s="246"/>
      <c r="D47" s="446" t="str">
        <f>Master!$B$21</f>
        <v>Blues</v>
      </c>
      <c r="E47" s="447"/>
      <c r="F47" s="448"/>
      <c r="G47" s="446" t="str">
        <f>Master!$B$22</f>
        <v>Westminster Waltz</v>
      </c>
      <c r="H47" s="449"/>
      <c r="I47" s="450"/>
    </row>
    <row r="48" spans="1:9" ht="30" customHeight="1" thickBot="1">
      <c r="A48" s="297" t="s">
        <v>40</v>
      </c>
      <c r="B48" s="257" t="s">
        <v>93</v>
      </c>
      <c r="C48" s="258"/>
      <c r="D48" s="259" t="s">
        <v>96</v>
      </c>
      <c r="E48" s="261" t="s">
        <v>94</v>
      </c>
      <c r="F48" s="260" t="s">
        <v>95</v>
      </c>
      <c r="G48" s="259" t="s">
        <v>96</v>
      </c>
      <c r="H48" s="261" t="s">
        <v>94</v>
      </c>
      <c r="I48" s="260" t="s">
        <v>95</v>
      </c>
    </row>
    <row r="49" spans="1:9" ht="30" customHeight="1">
      <c r="A49" s="295" t="s">
        <v>1</v>
      </c>
      <c r="B49" s="250" t="str">
        <f>VLOOKUP(A49,Master!A$26:B$29,2,FALSE)</f>
        <v>South West</v>
      </c>
      <c r="C49" s="252"/>
      <c r="D49" s="262" t="str">
        <f>IF(Snr!$K$10=6,"won",IF(Snr!$K$10=4,"drew",IF(Snr!$K$10=2,"lost","")))</f>
        <v>lost</v>
      </c>
      <c r="E49" s="264" t="str">
        <f>IF(Snr!$K$13=6,"won",IF(Snr!$K$13=4,"drew",IF(Snr!$K$13=2,"lost","")))</f>
        <v>won</v>
      </c>
      <c r="F49" s="263" t="str">
        <f>IF(Snr!$K$15=6,"won",IF(Snr!$K$15=4,"drew",IF(Snr!$K$15=2,"lost","")))</f>
        <v>lost</v>
      </c>
      <c r="G49" s="262" t="str">
        <f>IF(Snr!$K$21=6,"won",IF(Snr!$K$21=4,"drew",IF(Snr!$K$21=2,"lost","")))</f>
        <v>lost</v>
      </c>
      <c r="H49" s="264" t="str">
        <f>IF(Snr!$K$24=6,"won",IF(Snr!$K$24=4,"drew",IF(Snr!$K$24=2,"lost","")))</f>
        <v>lost</v>
      </c>
      <c r="I49" s="263" t="str">
        <f>IF(Snr!$K$26=6,"won",IF(Snr!$K$26=4,"drew",IF(Snr!$K$26=2,"lost","")))</f>
        <v>lost</v>
      </c>
    </row>
    <row r="50" spans="1:9" ht="30" customHeight="1">
      <c r="A50" s="295" t="s">
        <v>2</v>
      </c>
      <c r="B50" s="250" t="str">
        <f>VLOOKUP(A50,Master!A$26:B$29,2,FALSE)</f>
        <v>South East</v>
      </c>
      <c r="C50" s="252"/>
      <c r="D50" s="266" t="str">
        <f>IF(Snr!$L$10=6,"won",IF(Snr!$L$10=4,"drew",IF(Snr!$L$10=2,"lost","")))</f>
        <v>won</v>
      </c>
      <c r="E50" s="268" t="str">
        <f>IF(Snr!$L$12=6,"won",IF(Snr!$L$12=4,"drew",IF(Snr!$L$12=2,"lost","")))</f>
        <v>won</v>
      </c>
      <c r="F50" s="267" t="str">
        <f>IF(Snr!$L$14=6,"won",IF(Snr!$L$14=4,"drew",IF(Snr!$L$14=2,"lost","")))</f>
        <v>lost</v>
      </c>
      <c r="G50" s="266" t="str">
        <f>IF(Snr!$L$21=6,"won",IF(Snr!$L$21=4,"drew",IF(Snr!$L$21=2,"lost","")))</f>
        <v>won</v>
      </c>
      <c r="H50" s="268" t="str">
        <f>IF(Snr!$L$23=6,"won",IF(Snr!$L$23=4,"drew",IF(Snr!$L$23=2,"lost","")))</f>
        <v>lost</v>
      </c>
      <c r="I50" s="267" t="str">
        <f>IF(Snr!$L$25=6,"won",IF(Snr!$L$25=4,"drew",IF(Snr!$L$25=2,"lost","")))</f>
        <v>lost</v>
      </c>
    </row>
    <row r="51" spans="1:9" ht="30" customHeight="1">
      <c r="A51" s="295" t="s">
        <v>3</v>
      </c>
      <c r="B51" s="250" t="str">
        <f>VLOOKUP(A51,Master!A$26:B$29,2,FALSE)</f>
        <v>North</v>
      </c>
      <c r="C51" s="252"/>
      <c r="D51" s="266" t="str">
        <f>IF(Snr!$M$11=6,"won",IF(Snr!$M$11=4,"drew",IF(Snr!$M$11=2,"lost","")))</f>
        <v>won</v>
      </c>
      <c r="E51" s="268" t="str">
        <f>IF(Snr!$M$12=6,"won",IF(Snr!$M$12=4,"drew",IF(Snr!$M$12=2,"lost","")))</f>
        <v>lost</v>
      </c>
      <c r="F51" s="267" t="str">
        <f>IF(Snr!$M$15=6,"won",IF(Snr!$M$15=4,"drew",IF(Snr!$M$15=2,"lost","")))</f>
        <v>won</v>
      </c>
      <c r="G51" s="266" t="str">
        <f>IF(Snr!$M$22=6,"won",IF(Snr!$M$22=4,"drew",IF(Snr!$M$22=2,"lost","")))</f>
        <v>lost</v>
      </c>
      <c r="H51" s="268" t="str">
        <f>IF(Snr!$M$23=6,"won",IF(Snr!$M$23=4,"drew",IF(Snr!$M$23=2,"lost","")))</f>
        <v>won</v>
      </c>
      <c r="I51" s="267" t="str">
        <f>IF(Snr!$M$26=6,"won",IF(Snr!$M$26=4,"drew",IF(Snr!$M$26=2,"lost","")))</f>
        <v>won</v>
      </c>
    </row>
    <row r="52" spans="1:9" ht="30" customHeight="1" thickBot="1">
      <c r="A52" s="296" t="s">
        <v>4</v>
      </c>
      <c r="B52" s="254" t="str">
        <f>VLOOKUP(A52,Master!A$26:B$29,2,FALSE)</f>
        <v>South Central</v>
      </c>
      <c r="C52" s="255"/>
      <c r="D52" s="269" t="str">
        <f>IF(Snr!$N$11=6,"won",IF(Snr!$N$11=4,"drew",IF(Snr!$N$11=2,"lost","")))</f>
        <v>lost</v>
      </c>
      <c r="E52" s="271" t="str">
        <f>IF(Snr!$N$13=6,"won",IF(Snr!$N$13=4,"drew",IF(Snr!$N$13=2,"lost","")))</f>
        <v>lost</v>
      </c>
      <c r="F52" s="270" t="str">
        <f>IF(Snr!$N$14=6,"won",IF(Snr!$N$14=4,"drew",IF(Snr!$N$14=2,"lost","")))</f>
        <v>won</v>
      </c>
      <c r="G52" s="269" t="str">
        <f>IF(Snr!$N$22=6,"won",IF(Snr!$N$22=4,"drew",IF(Snr!$N$22=2,"lost","")))</f>
        <v>won</v>
      </c>
      <c r="H52" s="271" t="str">
        <f>IF(Snr!$N$24=6,"won",IF(Snr!$N$24=4,"drew",IF(Snr!$N$24=2,"lost","")))</f>
        <v>won</v>
      </c>
      <c r="I52" s="270" t="str">
        <f>IF(Snr!$N$25=6,"won",IF(Snr!$N$25=4,"drew",IF(Snr!$N$25=2,"lost","")))</f>
        <v>won</v>
      </c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 password="CAEF" sheet="1" objects="1" scenarios="1"/>
  <mergeCells count="18">
    <mergeCell ref="D3:H3"/>
    <mergeCell ref="D11:H11"/>
    <mergeCell ref="D19:H19"/>
    <mergeCell ref="D20:E20"/>
    <mergeCell ref="F20:H20"/>
    <mergeCell ref="D12:E12"/>
    <mergeCell ref="F12:H12"/>
    <mergeCell ref="D4:E4"/>
    <mergeCell ref="F4:H4"/>
    <mergeCell ref="D30:I30"/>
    <mergeCell ref="D38:I38"/>
    <mergeCell ref="D39:F39"/>
    <mergeCell ref="G39:I39"/>
    <mergeCell ref="D46:I46"/>
    <mergeCell ref="D47:F47"/>
    <mergeCell ref="G47:I47"/>
    <mergeCell ref="G31:I31"/>
    <mergeCell ref="D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2">
      <selection activeCell="E16" sqref="E16:F16"/>
    </sheetView>
  </sheetViews>
  <sheetFormatPr defaultColWidth="11.421875" defaultRowHeight="12.75"/>
  <cols>
    <col min="1" max="1" width="15.00390625" style="121" customWidth="1"/>
    <col min="2" max="3" width="13.8515625" style="121" customWidth="1"/>
    <col min="4" max="4" width="1.8515625" style="121" customWidth="1"/>
    <col min="5" max="6" width="13.8515625" style="121" customWidth="1"/>
    <col min="7" max="7" width="8.8515625" style="121" customWidth="1"/>
    <col min="8" max="9" width="10.00390625" style="122" customWidth="1"/>
    <col min="10" max="10" width="10.00390625" style="121" customWidth="1"/>
    <col min="11" max="16384" width="11.421875" style="121" customWidth="1"/>
  </cols>
  <sheetData>
    <row r="1" spans="1:10" s="99" customFormat="1" ht="23.25">
      <c r="A1" s="97" t="s">
        <v>80</v>
      </c>
      <c r="B1" s="100" t="str">
        <f>IF(Master!A26="","",Master!A26)</f>
        <v>C</v>
      </c>
      <c r="C1" s="97" t="str">
        <f>IF(Master!B26="","",Master!B26)</f>
        <v>North</v>
      </c>
      <c r="D1" s="98"/>
      <c r="G1" s="240"/>
      <c r="H1" s="100"/>
      <c r="I1" s="100"/>
      <c r="J1" s="100"/>
    </row>
    <row r="2" spans="2:9" s="101" customFormat="1" ht="19.5" customHeight="1">
      <c r="B2" s="102"/>
      <c r="H2" s="103"/>
      <c r="I2" s="103"/>
    </row>
    <row r="3" spans="1:9" s="101" customFormat="1" ht="19.5" customHeight="1">
      <c r="A3" s="104" t="s">
        <v>44</v>
      </c>
      <c r="B3" s="334" t="s">
        <v>195</v>
      </c>
      <c r="C3" s="335"/>
      <c r="D3" s="307"/>
      <c r="F3" s="105" t="s">
        <v>27</v>
      </c>
      <c r="G3" s="330" t="str">
        <f>Master!$B$3</f>
        <v>Streatham</v>
      </c>
      <c r="H3" s="331"/>
      <c r="I3" s="332"/>
    </row>
    <row r="4" spans="6:9" s="101" customFormat="1" ht="19.5" customHeight="1">
      <c r="F4" s="105" t="s">
        <v>28</v>
      </c>
      <c r="G4" s="330" t="str">
        <f>Master!$B$4</f>
        <v>18th October 2014</v>
      </c>
      <c r="H4" s="331"/>
      <c r="I4" s="332"/>
    </row>
    <row r="5" spans="6:9" s="101" customFormat="1" ht="19.5" customHeight="1">
      <c r="F5" s="105" t="s">
        <v>29</v>
      </c>
      <c r="G5" s="106" t="str">
        <f>Master!$B$5</f>
        <v>4:30 - 8:00 pm</v>
      </c>
      <c r="H5" s="107"/>
      <c r="I5" s="108"/>
    </row>
    <row r="6" spans="1:9" s="101" customFormat="1" ht="19.5" customHeight="1" thickBot="1">
      <c r="A6" s="109"/>
      <c r="B6" s="110"/>
      <c r="C6" s="110"/>
      <c r="D6" s="110"/>
      <c r="H6" s="103"/>
      <c r="I6" s="103"/>
    </row>
    <row r="7" spans="1:13" s="101" customFormat="1" ht="19.5" customHeight="1" thickBot="1">
      <c r="A7" s="101" t="s">
        <v>45</v>
      </c>
      <c r="B7" s="333" t="s">
        <v>46</v>
      </c>
      <c r="C7" s="333"/>
      <c r="E7" s="333" t="s">
        <v>47</v>
      </c>
      <c r="F7" s="333"/>
      <c r="G7" s="103" t="s">
        <v>12</v>
      </c>
      <c r="H7" s="103" t="s">
        <v>48</v>
      </c>
      <c r="I7" s="103" t="s">
        <v>48</v>
      </c>
      <c r="K7" s="320" t="s">
        <v>84</v>
      </c>
      <c r="L7" s="321"/>
      <c r="M7" s="322"/>
    </row>
    <row r="8" spans="1:13" s="101" customFormat="1" ht="19.5" customHeight="1" thickBot="1">
      <c r="A8" s="306" t="s">
        <v>49</v>
      </c>
      <c r="B8" s="336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19.5" customHeight="1">
      <c r="A9" s="114">
        <v>1</v>
      </c>
      <c r="B9" s="323" t="s">
        <v>197</v>
      </c>
      <c r="C9" s="327"/>
      <c r="D9" s="115"/>
      <c r="E9" s="323" t="s">
        <v>198</v>
      </c>
      <c r="F9" s="324"/>
      <c r="G9" s="299" t="str">
        <f>VLOOKUP(B$1,Lookup!$A$33:$I$36,4,FALSE)</f>
        <v>lost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19.5" customHeight="1">
      <c r="A10" s="114">
        <v>2</v>
      </c>
      <c r="B10" s="312" t="s">
        <v>199</v>
      </c>
      <c r="C10" s="316"/>
      <c r="D10" s="118"/>
      <c r="E10" s="312" t="s">
        <v>200</v>
      </c>
      <c r="F10" s="313"/>
      <c r="G10" s="300" t="str">
        <f>VLOOKUP(B$1,Lookup!$A$33:$I$36,5,FALSE)</f>
        <v>won</v>
      </c>
      <c r="H10" s="298"/>
      <c r="I10" s="119"/>
      <c r="J10" s="222"/>
      <c r="K10" s="237" t="s">
        <v>78</v>
      </c>
      <c r="L10" s="102">
        <f>IF(H10="y",1,IF(I10="y",2,0))</f>
        <v>0</v>
      </c>
      <c r="M10" s="228"/>
    </row>
    <row r="11" spans="1:13" s="101" customFormat="1" ht="19.5" customHeight="1" thickBot="1">
      <c r="A11" s="114">
        <v>3</v>
      </c>
      <c r="B11" s="328" t="s">
        <v>202</v>
      </c>
      <c r="C11" s="329"/>
      <c r="D11" s="118"/>
      <c r="E11" s="328" t="s">
        <v>201</v>
      </c>
      <c r="F11" s="337"/>
      <c r="G11" s="301" t="str">
        <f>VLOOKUP(B$1,Lookup!$A$33:$I$36,6,FALSE)</f>
        <v>won</v>
      </c>
      <c r="H11" s="298"/>
      <c r="I11" s="119"/>
      <c r="J11" s="117"/>
      <c r="K11" s="238" t="s">
        <v>81</v>
      </c>
      <c r="L11" s="102">
        <f>IF(H11="y",1,IF(I11="y",2,0))</f>
        <v>0</v>
      </c>
      <c r="M11" s="228"/>
    </row>
    <row r="12" spans="7:13" ht="9.75" customHeight="1" thickBot="1">
      <c r="G12" s="241"/>
      <c r="K12" s="229"/>
      <c r="L12" s="226"/>
      <c r="M12" s="230"/>
    </row>
    <row r="13" spans="1:13" s="101" customFormat="1" ht="19.5" customHeight="1" thickBot="1">
      <c r="A13" s="306" t="s">
        <v>52</v>
      </c>
      <c r="B13" s="336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19.5" customHeight="1">
      <c r="A14" s="114">
        <v>1</v>
      </c>
      <c r="B14" s="314" t="s">
        <v>199</v>
      </c>
      <c r="C14" s="315"/>
      <c r="D14" s="115"/>
      <c r="E14" s="314" t="s">
        <v>200</v>
      </c>
      <c r="F14" s="317"/>
      <c r="G14" s="299" t="str">
        <f>VLOOKUP(B$1,Lookup!$A$33:$I$36,7,FALSE)</f>
        <v>lost</v>
      </c>
      <c r="H14" s="298"/>
      <c r="I14" s="119" t="s">
        <v>81</v>
      </c>
      <c r="J14" s="117"/>
      <c r="K14" s="231"/>
      <c r="L14" s="102">
        <f>IF(H14="y",1,IF(I14="y",2,0))</f>
        <v>2</v>
      </c>
      <c r="M14" s="228"/>
    </row>
    <row r="15" spans="1:13" s="101" customFormat="1" ht="19.5" customHeight="1">
      <c r="A15" s="114">
        <v>2</v>
      </c>
      <c r="B15" s="312" t="s">
        <v>203</v>
      </c>
      <c r="C15" s="316"/>
      <c r="D15" s="118"/>
      <c r="E15" s="312" t="s">
        <v>204</v>
      </c>
      <c r="F15" s="313"/>
      <c r="G15" s="300" t="str">
        <f>VLOOKUP(B$1,Lookup!$A$33:$I$36,8,FALSE)</f>
        <v>won</v>
      </c>
      <c r="H15" s="298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19.5" customHeight="1" thickBot="1">
      <c r="A16" s="114">
        <v>3</v>
      </c>
      <c r="B16" s="312" t="s">
        <v>205</v>
      </c>
      <c r="C16" s="316"/>
      <c r="D16" s="118"/>
      <c r="E16" s="312" t="s">
        <v>198</v>
      </c>
      <c r="F16" s="313"/>
      <c r="G16" s="301" t="str">
        <f>VLOOKUP(B$1,Lookup!$A$33:$I$36,9,FALSE)</f>
        <v>won</v>
      </c>
      <c r="H16" s="298" t="s">
        <v>81</v>
      </c>
      <c r="I16" s="119"/>
      <c r="J16" s="117"/>
      <c r="K16" s="231"/>
      <c r="L16" s="102">
        <f>IF(H16="y",1,IF(I16="y",2,0))</f>
        <v>1</v>
      </c>
      <c r="M16" s="228"/>
    </row>
    <row r="17" spans="1:13" ht="19.5" customHeight="1">
      <c r="A17" s="123"/>
      <c r="B17" s="123"/>
      <c r="C17" s="123"/>
      <c r="D17" s="123"/>
      <c r="E17" s="123"/>
      <c r="F17" s="123"/>
      <c r="G17" s="123"/>
      <c r="H17" s="224"/>
      <c r="I17" s="225"/>
      <c r="J17" s="223"/>
      <c r="K17" s="232" t="s">
        <v>83</v>
      </c>
      <c r="L17" s="227">
        <f>SUM(L10:L16)</f>
        <v>3</v>
      </c>
      <c r="M17" s="230"/>
    </row>
    <row r="18" spans="11:13" ht="15.75" thickBot="1">
      <c r="K18" s="229"/>
      <c r="L18" s="226"/>
      <c r="M18" s="230"/>
    </row>
    <row r="19" spans="1:13" s="101" customFormat="1" ht="19.5" customHeight="1" thickBot="1">
      <c r="A19" s="325" t="s">
        <v>53</v>
      </c>
      <c r="B19" s="326"/>
      <c r="C19" s="125" t="str">
        <f>Master!$B$15</f>
        <v>Ten Fox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19.5" customHeight="1">
      <c r="A20" s="114">
        <v>4</v>
      </c>
      <c r="B20" s="314" t="s">
        <v>203</v>
      </c>
      <c r="C20" s="315"/>
      <c r="D20" s="115"/>
      <c r="E20" s="314" t="s">
        <v>195</v>
      </c>
      <c r="F20" s="317"/>
      <c r="G20" s="299" t="str">
        <f>VLOOKUP($B$1,Lookup!$A$41:$I$44,4,FALSE)</f>
        <v>won</v>
      </c>
      <c r="H20" s="116"/>
      <c r="I20" s="116"/>
      <c r="J20" s="117"/>
      <c r="K20" s="231"/>
      <c r="L20" s="102"/>
      <c r="M20" s="228"/>
    </row>
    <row r="21" spans="1:13" s="101" customFormat="1" ht="19.5" customHeight="1">
      <c r="A21" s="114">
        <v>5</v>
      </c>
      <c r="B21" s="312" t="s">
        <v>205</v>
      </c>
      <c r="C21" s="316"/>
      <c r="D21" s="118"/>
      <c r="E21" s="312" t="s">
        <v>204</v>
      </c>
      <c r="F21" s="313"/>
      <c r="G21" s="300" t="str">
        <f>VLOOKUP($B$1,Lookup!$A$41:$I$44,5,FALSE)</f>
        <v>won</v>
      </c>
      <c r="H21" s="298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19.5" customHeight="1" thickBot="1">
      <c r="A22" s="114">
        <v>6</v>
      </c>
      <c r="B22" s="312" t="s">
        <v>206</v>
      </c>
      <c r="C22" s="316"/>
      <c r="D22" s="118"/>
      <c r="E22" s="312" t="s">
        <v>207</v>
      </c>
      <c r="F22" s="313"/>
      <c r="G22" s="301" t="str">
        <f>VLOOKUP($B$1,Lookup!$A$41:$I$44,6,FALSE)</f>
        <v>lost</v>
      </c>
      <c r="H22" s="298"/>
      <c r="I22" s="119"/>
      <c r="J22" s="117"/>
      <c r="K22" s="231"/>
      <c r="L22" s="102">
        <f>IF(H22="y",1,IF(I22="y",2,0))</f>
        <v>0</v>
      </c>
      <c r="M22" s="228"/>
    </row>
    <row r="23" spans="7:13" ht="9.75" customHeight="1" thickBot="1">
      <c r="G23" s="241"/>
      <c r="K23" s="229"/>
      <c r="L23" s="226"/>
      <c r="M23" s="230"/>
    </row>
    <row r="24" spans="1:13" s="101" customFormat="1" ht="19.5" customHeight="1" thickBot="1">
      <c r="A24" s="325" t="s">
        <v>54</v>
      </c>
      <c r="B24" s="326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19.5" customHeight="1">
      <c r="A25" s="114">
        <v>7</v>
      </c>
      <c r="B25" s="314" t="s">
        <v>209</v>
      </c>
      <c r="C25" s="315"/>
      <c r="D25" s="115"/>
      <c r="E25" s="314" t="s">
        <v>208</v>
      </c>
      <c r="F25" s="317"/>
      <c r="G25" s="299" t="str">
        <f>VLOOKUP($B$1,Lookup!$A$41:$I$44,7,FALSE)</f>
        <v>won</v>
      </c>
      <c r="H25" s="298" t="s">
        <v>81</v>
      </c>
      <c r="I25" s="119"/>
      <c r="J25" s="117"/>
      <c r="K25" s="231"/>
      <c r="L25" s="102">
        <f>IF(H25="y",1,IF(I25="y",2,0))</f>
        <v>1</v>
      </c>
      <c r="M25" s="228"/>
    </row>
    <row r="26" spans="1:13" s="101" customFormat="1" ht="19.5" customHeight="1">
      <c r="A26" s="114">
        <v>8</v>
      </c>
      <c r="B26" s="312" t="s">
        <v>209</v>
      </c>
      <c r="C26" s="316"/>
      <c r="D26" s="118"/>
      <c r="E26" s="312" t="s">
        <v>204</v>
      </c>
      <c r="F26" s="313"/>
      <c r="G26" s="300" t="str">
        <f>VLOOKUP($B$1,Lookup!$A$41:$I$44,8,FALSE)</f>
        <v>won</v>
      </c>
      <c r="H26" s="298" t="s">
        <v>81</v>
      </c>
      <c r="I26" s="119"/>
      <c r="J26" s="117"/>
      <c r="K26" s="231"/>
      <c r="L26" s="102">
        <f>IF(H26="y",1,IF(I26="y",2,0))</f>
        <v>1</v>
      </c>
      <c r="M26" s="228"/>
    </row>
    <row r="27" spans="1:13" s="101" customFormat="1" ht="19.5" customHeight="1" thickBot="1">
      <c r="A27" s="114">
        <v>9</v>
      </c>
      <c r="B27" s="312" t="s">
        <v>210</v>
      </c>
      <c r="C27" s="316"/>
      <c r="D27" s="118"/>
      <c r="E27" s="312" t="s">
        <v>211</v>
      </c>
      <c r="F27" s="313"/>
      <c r="G27" s="301" t="str">
        <f>VLOOKUP($B$1,Lookup!$A$41:$I$44,9,FALSE)</f>
        <v>won</v>
      </c>
      <c r="H27" s="298"/>
      <c r="I27" s="119"/>
      <c r="J27" s="117"/>
      <c r="K27" s="231"/>
      <c r="L27" s="102">
        <f>IF(H27="y",1,IF(I27="y",2,0))</f>
        <v>0</v>
      </c>
      <c r="M27" s="228"/>
    </row>
    <row r="28" spans="1:13" ht="19.5" customHeight="1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2</v>
      </c>
      <c r="M28" s="230"/>
    </row>
    <row r="29" spans="11:13" ht="15.75" thickBot="1">
      <c r="K29" s="229"/>
      <c r="L29" s="226"/>
      <c r="M29" s="230"/>
    </row>
    <row r="30" spans="1:13" s="101" customFormat="1" ht="19.5" customHeight="1" thickBot="1">
      <c r="A30" s="318" t="s">
        <v>55</v>
      </c>
      <c r="B30" s="319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19.5" customHeight="1">
      <c r="A31" s="114">
        <v>10</v>
      </c>
      <c r="B31" s="314" t="s">
        <v>212</v>
      </c>
      <c r="C31" s="315"/>
      <c r="D31" s="115"/>
      <c r="E31" s="314" t="s">
        <v>207</v>
      </c>
      <c r="F31" s="317"/>
      <c r="G31" s="299" t="str">
        <f>VLOOKUP($B$1,Lookup!$A$49:$I$52,4,FALSE)</f>
        <v>won</v>
      </c>
      <c r="H31" s="116"/>
      <c r="I31" s="116"/>
      <c r="J31" s="117"/>
      <c r="K31" s="231"/>
      <c r="L31" s="102"/>
      <c r="M31" s="228"/>
    </row>
    <row r="32" spans="1:13" s="101" customFormat="1" ht="19.5" customHeight="1">
      <c r="A32" s="114">
        <v>11</v>
      </c>
      <c r="B32" s="312" t="s">
        <v>209</v>
      </c>
      <c r="C32" s="316"/>
      <c r="D32" s="118"/>
      <c r="E32" s="312" t="s">
        <v>195</v>
      </c>
      <c r="F32" s="313"/>
      <c r="G32" s="300" t="str">
        <f>VLOOKUP($B$1,Lookup!$A$49:$I$52,5,FALSE)</f>
        <v>lost</v>
      </c>
      <c r="H32" s="298"/>
      <c r="I32" s="119"/>
      <c r="J32" s="117"/>
      <c r="K32" s="231"/>
      <c r="L32" s="102">
        <f>IF(H32="y",1,IF(I32="y",2,0))</f>
        <v>0</v>
      </c>
      <c r="M32" s="228"/>
    </row>
    <row r="33" spans="1:13" s="101" customFormat="1" ht="19.5" customHeight="1" thickBot="1">
      <c r="A33" s="114">
        <v>12</v>
      </c>
      <c r="B33" s="312" t="s">
        <v>212</v>
      </c>
      <c r="C33" s="316"/>
      <c r="D33" s="118"/>
      <c r="E33" s="312" t="s">
        <v>207</v>
      </c>
      <c r="F33" s="313"/>
      <c r="G33" s="301" t="str">
        <f>VLOOKUP($B$1,Lookup!$A$49:$I$52,6,FALSE)</f>
        <v>won</v>
      </c>
      <c r="H33" s="298"/>
      <c r="I33" s="119" t="s">
        <v>81</v>
      </c>
      <c r="J33" s="117"/>
      <c r="K33" s="231"/>
      <c r="L33" s="102">
        <f>IF(H33="y",1,IF(I33="y",2,0))</f>
        <v>2</v>
      </c>
      <c r="M33" s="228"/>
    </row>
    <row r="34" spans="7:13" ht="9.75" customHeight="1" thickBot="1">
      <c r="G34" s="241"/>
      <c r="K34" s="229"/>
      <c r="L34" s="226"/>
      <c r="M34" s="230"/>
    </row>
    <row r="35" spans="1:13" s="101" customFormat="1" ht="19.5" customHeight="1" thickBot="1">
      <c r="A35" s="318" t="s">
        <v>56</v>
      </c>
      <c r="B35" s="319"/>
      <c r="C35" s="127" t="str">
        <f>Master!$B$22</f>
        <v>Westminster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19.5" customHeight="1">
      <c r="A36" s="114">
        <v>13</v>
      </c>
      <c r="B36" s="314" t="s">
        <v>213</v>
      </c>
      <c r="C36" s="315"/>
      <c r="D36" s="115"/>
      <c r="E36" s="314" t="s">
        <v>214</v>
      </c>
      <c r="F36" s="317"/>
      <c r="G36" s="299" t="str">
        <f>VLOOKUP($B$1,Lookup!$A$49:$I$52,7,FALSE)</f>
        <v>lost</v>
      </c>
      <c r="H36" s="298"/>
      <c r="I36" s="119"/>
      <c r="J36" s="117"/>
      <c r="K36" s="231"/>
      <c r="L36" s="102">
        <f>IF(H36="y",1,IF(I36="y",2,0))</f>
        <v>0</v>
      </c>
      <c r="M36" s="228"/>
    </row>
    <row r="37" spans="1:13" s="101" customFormat="1" ht="19.5" customHeight="1">
      <c r="A37" s="114">
        <v>14</v>
      </c>
      <c r="B37" s="312" t="s">
        <v>213</v>
      </c>
      <c r="C37" s="316"/>
      <c r="D37" s="118"/>
      <c r="E37" s="312" t="s">
        <v>214</v>
      </c>
      <c r="F37" s="313"/>
      <c r="G37" s="300" t="str">
        <f>VLOOKUP($B$1,Lookup!$A$49:$I$52,8,FALSE)</f>
        <v>won</v>
      </c>
      <c r="H37" s="298"/>
      <c r="I37" s="119" t="s">
        <v>81</v>
      </c>
      <c r="J37" s="117"/>
      <c r="K37" s="231"/>
      <c r="L37" s="102">
        <f>IF(H37="y",1,IF(I37="y",2,0))</f>
        <v>2</v>
      </c>
      <c r="M37" s="228"/>
    </row>
    <row r="38" spans="1:13" s="101" customFormat="1" ht="19.5" customHeight="1" thickBot="1">
      <c r="A38" s="114">
        <v>15</v>
      </c>
      <c r="B38" s="312" t="s">
        <v>213</v>
      </c>
      <c r="C38" s="316"/>
      <c r="D38" s="118"/>
      <c r="E38" s="312" t="s">
        <v>214</v>
      </c>
      <c r="F38" s="313"/>
      <c r="G38" s="301" t="str">
        <f>VLOOKUP($B$1,Lookup!$A$49:$I$52,9,FALSE)</f>
        <v>won</v>
      </c>
      <c r="H38" s="298"/>
      <c r="I38" s="119" t="s">
        <v>81</v>
      </c>
      <c r="J38" s="117"/>
      <c r="K38" s="231"/>
      <c r="L38" s="102">
        <f>IF(H38="y",1,IF(I38="y",2,0))</f>
        <v>2</v>
      </c>
      <c r="M38" s="228"/>
    </row>
    <row r="39" spans="11:13" ht="19.5" customHeight="1" thickBot="1">
      <c r="K39" s="233" t="s">
        <v>83</v>
      </c>
      <c r="L39" s="234">
        <f>SUM(L32:L38)</f>
        <v>6</v>
      </c>
      <c r="M39" s="235"/>
    </row>
  </sheetData>
  <sheetProtection password="CAEF" sheet="1" objects="1" scenarios="1" selectLockedCells="1"/>
  <mergeCells count="48">
    <mergeCell ref="A19:B19"/>
    <mergeCell ref="B16:C16"/>
    <mergeCell ref="A13:B13"/>
    <mergeCell ref="E11:F11"/>
    <mergeCell ref="E15:F15"/>
    <mergeCell ref="E16:F16"/>
    <mergeCell ref="B22:C22"/>
    <mergeCell ref="G3:I3"/>
    <mergeCell ref="G4:I4"/>
    <mergeCell ref="B7:C7"/>
    <mergeCell ref="E7:F7"/>
    <mergeCell ref="B3:D3"/>
    <mergeCell ref="E14:F14"/>
    <mergeCell ref="A8:B8"/>
    <mergeCell ref="B21:C21"/>
    <mergeCell ref="B20:C20"/>
    <mergeCell ref="B10:C10"/>
    <mergeCell ref="B11:C11"/>
    <mergeCell ref="B14:C14"/>
    <mergeCell ref="B15:C15"/>
    <mergeCell ref="A35:B35"/>
    <mergeCell ref="K7:M7"/>
    <mergeCell ref="E36:F36"/>
    <mergeCell ref="E37:F37"/>
    <mergeCell ref="E9:F9"/>
    <mergeCell ref="E10:F10"/>
    <mergeCell ref="E22:F22"/>
    <mergeCell ref="E25:F25"/>
    <mergeCell ref="A24:B24"/>
    <mergeCell ref="B9:C9"/>
    <mergeCell ref="E20:F20"/>
    <mergeCell ref="E21:F21"/>
    <mergeCell ref="B38:C38"/>
    <mergeCell ref="B27:C27"/>
    <mergeCell ref="B31:C31"/>
    <mergeCell ref="B32:C32"/>
    <mergeCell ref="B33:C33"/>
    <mergeCell ref="A30:B30"/>
    <mergeCell ref="B36:C36"/>
    <mergeCell ref="B37:C37"/>
    <mergeCell ref="E32:F32"/>
    <mergeCell ref="E26:F26"/>
    <mergeCell ref="E38:F38"/>
    <mergeCell ref="E33:F33"/>
    <mergeCell ref="E27:F27"/>
    <mergeCell ref="B25:C25"/>
    <mergeCell ref="B26:C26"/>
    <mergeCell ref="E31:F31"/>
  </mergeCells>
  <conditionalFormatting sqref="G20:G27 G9:G16 G31:G38">
    <cfRule type="cellIs" priority="1" dxfId="22" operator="equal" stopIfTrue="1">
      <formula>"won"</formula>
    </cfRule>
    <cfRule type="cellIs" priority="2" dxfId="21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9">
      <selection activeCell="B27" sqref="B27:C27"/>
    </sheetView>
  </sheetViews>
  <sheetFormatPr defaultColWidth="11.421875" defaultRowHeight="12.75"/>
  <cols>
    <col min="1" max="1" width="15.00390625" style="121" customWidth="1"/>
    <col min="2" max="3" width="13.8515625" style="121" customWidth="1"/>
    <col min="4" max="4" width="1.8515625" style="121" customWidth="1"/>
    <col min="5" max="6" width="13.8515625" style="121" customWidth="1"/>
    <col min="7" max="7" width="8.8515625" style="121" customWidth="1"/>
    <col min="8" max="9" width="10.00390625" style="122" customWidth="1"/>
    <col min="10" max="10" width="10.00390625" style="121" customWidth="1"/>
    <col min="11" max="16384" width="11.421875" style="121" customWidth="1"/>
  </cols>
  <sheetData>
    <row r="1" spans="1:10" s="99" customFormat="1" ht="23.25">
      <c r="A1" s="97" t="s">
        <v>80</v>
      </c>
      <c r="B1" s="100" t="str">
        <f>IF(Master!A27="","",Master!A27)</f>
        <v>D</v>
      </c>
      <c r="C1" s="97" t="str">
        <f>IF(Master!B27="","",Master!B27)</f>
        <v>South Central</v>
      </c>
      <c r="D1" s="98"/>
      <c r="G1" s="100"/>
      <c r="H1" s="100"/>
      <c r="I1" s="100"/>
      <c r="J1" s="100"/>
    </row>
    <row r="2" spans="2:9" s="101" customFormat="1" ht="19.5" customHeight="1">
      <c r="B2" s="102"/>
      <c r="H2" s="103"/>
      <c r="I2" s="103"/>
    </row>
    <row r="3" spans="1:9" s="101" customFormat="1" ht="19.5" customHeight="1">
      <c r="A3" s="104" t="s">
        <v>44</v>
      </c>
      <c r="B3" s="334" t="s">
        <v>171</v>
      </c>
      <c r="C3" s="335"/>
      <c r="D3" s="307"/>
      <c r="F3" s="105" t="s">
        <v>27</v>
      </c>
      <c r="G3" s="330" t="str">
        <f>Master!$B$3</f>
        <v>Streatham</v>
      </c>
      <c r="H3" s="331"/>
      <c r="I3" s="332"/>
    </row>
    <row r="4" spans="6:9" s="101" customFormat="1" ht="19.5" customHeight="1">
      <c r="F4" s="105" t="s">
        <v>28</v>
      </c>
      <c r="G4" s="330" t="str">
        <f>Master!$B$4</f>
        <v>18th October 2014</v>
      </c>
      <c r="H4" s="331"/>
      <c r="I4" s="332"/>
    </row>
    <row r="5" spans="6:9" s="101" customFormat="1" ht="19.5" customHeight="1">
      <c r="F5" s="105" t="s">
        <v>29</v>
      </c>
      <c r="G5" s="106" t="str">
        <f>Master!$B$5</f>
        <v>4:30 - 8:00 pm</v>
      </c>
      <c r="H5" s="107"/>
      <c r="I5" s="108"/>
    </row>
    <row r="6" spans="1:9" s="101" customFormat="1" ht="19.5" customHeight="1" thickBot="1">
      <c r="A6" s="109"/>
      <c r="B6" s="110"/>
      <c r="C6" s="110"/>
      <c r="D6" s="110"/>
      <c r="H6" s="103"/>
      <c r="I6" s="103"/>
    </row>
    <row r="7" spans="1:13" s="101" customFormat="1" ht="19.5" customHeight="1" thickBot="1">
      <c r="A7" s="101" t="s">
        <v>45</v>
      </c>
      <c r="B7" s="333" t="s">
        <v>46</v>
      </c>
      <c r="C7" s="333"/>
      <c r="E7" s="333" t="s">
        <v>47</v>
      </c>
      <c r="F7" s="333"/>
      <c r="G7" s="103" t="s">
        <v>12</v>
      </c>
      <c r="H7" s="103" t="s">
        <v>48</v>
      </c>
      <c r="I7" s="103" t="s">
        <v>48</v>
      </c>
      <c r="K7" s="320" t="s">
        <v>84</v>
      </c>
      <c r="L7" s="321"/>
      <c r="M7" s="322"/>
    </row>
    <row r="8" spans="1:13" s="101" customFormat="1" ht="19.5" customHeight="1" thickBot="1">
      <c r="A8" s="306" t="s">
        <v>49</v>
      </c>
      <c r="B8" s="336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19.5" customHeight="1">
      <c r="A9" s="114">
        <v>1</v>
      </c>
      <c r="B9" s="314" t="s">
        <v>172</v>
      </c>
      <c r="C9" s="315"/>
      <c r="D9" s="115"/>
      <c r="E9" s="314" t="s">
        <v>173</v>
      </c>
      <c r="F9" s="317"/>
      <c r="G9" s="299" t="str">
        <f>VLOOKUP(B$1,Lookup!$A$33:$I$36,4,FALSE)</f>
        <v>won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19.5" customHeight="1">
      <c r="A10" s="114">
        <v>2</v>
      </c>
      <c r="B10" s="312" t="s">
        <v>174</v>
      </c>
      <c r="C10" s="316"/>
      <c r="D10" s="118"/>
      <c r="E10" s="312" t="s">
        <v>175</v>
      </c>
      <c r="F10" s="313"/>
      <c r="G10" s="300" t="str">
        <f>VLOOKUP(B$1,Lookup!$A$33:$I$36,5,FALSE)</f>
        <v>lost</v>
      </c>
      <c r="H10" s="298"/>
      <c r="I10" s="119"/>
      <c r="J10" s="120" t="s">
        <v>78</v>
      </c>
      <c r="K10" s="237" t="s">
        <v>78</v>
      </c>
      <c r="L10" s="102">
        <f>IF(H10="y",1,IF(I10="y",2,0))</f>
        <v>0</v>
      </c>
      <c r="M10" s="228"/>
    </row>
    <row r="11" spans="1:13" s="101" customFormat="1" ht="19.5" customHeight="1" thickBot="1">
      <c r="A11" s="114">
        <v>3</v>
      </c>
      <c r="B11" s="312" t="s">
        <v>176</v>
      </c>
      <c r="C11" s="316"/>
      <c r="D11" s="118"/>
      <c r="E11" s="312" t="s">
        <v>177</v>
      </c>
      <c r="F11" s="313"/>
      <c r="G11" s="301" t="str">
        <f>VLOOKUP(B$1,Lookup!$A$33:$I$36,6,FALSE)</f>
        <v>lost</v>
      </c>
      <c r="H11" s="298"/>
      <c r="I11" s="119"/>
      <c r="J11" s="117"/>
      <c r="K11" s="238" t="s">
        <v>81</v>
      </c>
      <c r="L11" s="102">
        <f>IF(H11="y",1,IF(I11="y",2,0))</f>
        <v>0</v>
      </c>
      <c r="M11" s="228"/>
    </row>
    <row r="12" spans="7:13" ht="9.75" customHeight="1" thickBot="1">
      <c r="G12" s="241"/>
      <c r="K12" s="229"/>
      <c r="L12" s="226"/>
      <c r="M12" s="230"/>
    </row>
    <row r="13" spans="1:13" s="101" customFormat="1" ht="19.5" customHeight="1" thickBot="1">
      <c r="A13" s="306" t="s">
        <v>52</v>
      </c>
      <c r="B13" s="336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19.5" customHeight="1">
      <c r="A14" s="114">
        <v>1</v>
      </c>
      <c r="B14" s="314" t="s">
        <v>178</v>
      </c>
      <c r="C14" s="315"/>
      <c r="D14" s="115"/>
      <c r="E14" s="314" t="s">
        <v>179</v>
      </c>
      <c r="F14" s="317"/>
      <c r="G14" s="299" t="str">
        <f>VLOOKUP(B$1,Lookup!$A$33:$I$36,7,FALSE)</f>
        <v>won</v>
      </c>
      <c r="H14" s="298"/>
      <c r="I14" s="119"/>
      <c r="J14" s="117"/>
      <c r="K14" s="231"/>
      <c r="L14" s="102">
        <f>IF(H14="y",1,IF(I14="y",2,0))</f>
        <v>0</v>
      </c>
      <c r="M14" s="228"/>
    </row>
    <row r="15" spans="1:13" s="101" customFormat="1" ht="19.5" customHeight="1">
      <c r="A15" s="114">
        <v>2</v>
      </c>
      <c r="B15" s="312" t="s">
        <v>180</v>
      </c>
      <c r="C15" s="316"/>
      <c r="D15" s="118"/>
      <c r="E15" s="312" t="s">
        <v>181</v>
      </c>
      <c r="F15" s="313"/>
      <c r="G15" s="300" t="str">
        <f>VLOOKUP(B$1,Lookup!$A$33:$I$36,8,FALSE)</f>
        <v>lost</v>
      </c>
      <c r="H15" s="298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19.5" customHeight="1" thickBot="1">
      <c r="A16" s="114">
        <v>3</v>
      </c>
      <c r="B16" s="312" t="s">
        <v>182</v>
      </c>
      <c r="C16" s="316"/>
      <c r="D16" s="118"/>
      <c r="E16" s="312" t="s">
        <v>173</v>
      </c>
      <c r="F16" s="313"/>
      <c r="G16" s="301" t="str">
        <f>VLOOKUP(B$1,Lookup!$A$33:$I$36,9,FALSE)</f>
        <v>won</v>
      </c>
      <c r="H16" s="298" t="s">
        <v>81</v>
      </c>
      <c r="I16" s="119"/>
      <c r="J16" s="117"/>
      <c r="K16" s="231"/>
      <c r="L16" s="102">
        <f>IF(H16="y",1,IF(I16="y",2,0))</f>
        <v>1</v>
      </c>
      <c r="M16" s="228"/>
    </row>
    <row r="17" spans="1:13" ht="18">
      <c r="A17" s="123"/>
      <c r="B17" s="123"/>
      <c r="C17" s="123"/>
      <c r="D17" s="123"/>
      <c r="E17" s="123"/>
      <c r="F17" s="123"/>
      <c r="G17" s="123"/>
      <c r="H17" s="124"/>
      <c r="I17" s="124"/>
      <c r="K17" s="232" t="s">
        <v>83</v>
      </c>
      <c r="L17" s="227">
        <f>SUM(L10:L16)</f>
        <v>1</v>
      </c>
      <c r="M17" s="230"/>
    </row>
    <row r="18" spans="11:13" ht="15.75" thickBot="1">
      <c r="K18" s="229"/>
      <c r="L18" s="226"/>
      <c r="M18" s="230"/>
    </row>
    <row r="19" spans="1:13" s="101" customFormat="1" ht="19.5" customHeight="1" thickBot="1">
      <c r="A19" s="325" t="s">
        <v>53</v>
      </c>
      <c r="B19" s="326"/>
      <c r="C19" s="125" t="str">
        <f>Master!$B$15</f>
        <v>Ten Fox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19.5" customHeight="1">
      <c r="A20" s="114">
        <v>4</v>
      </c>
      <c r="B20" s="314" t="s">
        <v>187</v>
      </c>
      <c r="C20" s="315"/>
      <c r="D20" s="115"/>
      <c r="E20" s="312" t="s">
        <v>177</v>
      </c>
      <c r="F20" s="313"/>
      <c r="G20" s="299" t="str">
        <f>VLOOKUP($B$1,Lookup!$A$41:$I$44,4,FALSE)</f>
        <v>lost</v>
      </c>
      <c r="H20" s="116"/>
      <c r="I20" s="116"/>
      <c r="J20" s="117"/>
      <c r="K20" s="231"/>
      <c r="L20" s="102"/>
      <c r="M20" s="228"/>
    </row>
    <row r="21" spans="1:13" s="101" customFormat="1" ht="19.5" customHeight="1">
      <c r="A21" s="114">
        <v>5</v>
      </c>
      <c r="B21" s="312" t="s">
        <v>187</v>
      </c>
      <c r="C21" s="316"/>
      <c r="D21" s="118"/>
      <c r="E21" s="312" t="s">
        <v>179</v>
      </c>
      <c r="F21" s="313"/>
      <c r="G21" s="300" t="str">
        <f>VLOOKUP($B$1,Lookup!$A$41:$I$44,5,FALSE)</f>
        <v>won</v>
      </c>
      <c r="H21" s="298" t="s">
        <v>81</v>
      </c>
      <c r="I21" s="119"/>
      <c r="J21" s="117"/>
      <c r="K21" s="231"/>
      <c r="L21" s="102">
        <f>IF(H21="y",1,IF(I21="y",2,0))</f>
        <v>1</v>
      </c>
      <c r="M21" s="228"/>
    </row>
    <row r="22" spans="1:13" s="101" customFormat="1" ht="19.5" customHeight="1" thickBot="1">
      <c r="A22" s="114">
        <v>6</v>
      </c>
      <c r="B22" s="312" t="s">
        <v>183</v>
      </c>
      <c r="C22" s="316"/>
      <c r="D22" s="118"/>
      <c r="E22" s="312" t="s">
        <v>181</v>
      </c>
      <c r="F22" s="313"/>
      <c r="G22" s="301" t="str">
        <f>VLOOKUP($B$1,Lookup!$A$41:$I$44,6,FALSE)</f>
        <v>lost</v>
      </c>
      <c r="H22" s="298"/>
      <c r="I22" s="119"/>
      <c r="J22" s="117"/>
      <c r="K22" s="231"/>
      <c r="L22" s="102">
        <f>IF(H22="y",1,IF(I22="y",2,0))</f>
        <v>0</v>
      </c>
      <c r="M22" s="228"/>
    </row>
    <row r="23" spans="7:13" ht="9.75" customHeight="1" thickBot="1">
      <c r="G23" s="241"/>
      <c r="K23" s="229"/>
      <c r="L23" s="226"/>
      <c r="M23" s="230"/>
    </row>
    <row r="24" spans="1:13" s="101" customFormat="1" ht="19.5" customHeight="1" thickBot="1">
      <c r="A24" s="325" t="s">
        <v>54</v>
      </c>
      <c r="B24" s="326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19.5" customHeight="1">
      <c r="A25" s="114">
        <v>7</v>
      </c>
      <c r="B25" s="314" t="s">
        <v>184</v>
      </c>
      <c r="C25" s="315"/>
      <c r="D25" s="115"/>
      <c r="E25" s="314" t="s">
        <v>185</v>
      </c>
      <c r="F25" s="317"/>
      <c r="G25" s="299" t="str">
        <f>VLOOKUP($B$1,Lookup!$A$41:$I$44,7,FALSE)</f>
        <v>lost</v>
      </c>
      <c r="H25" s="298"/>
      <c r="I25" s="119"/>
      <c r="J25" s="117"/>
      <c r="K25" s="231"/>
      <c r="L25" s="102">
        <f>IF(H25="y",1,IF(I25="y",2,0))</f>
        <v>0</v>
      </c>
      <c r="M25" s="228"/>
    </row>
    <row r="26" spans="1:13" s="101" customFormat="1" ht="19.5" customHeight="1">
      <c r="A26" s="114">
        <v>8</v>
      </c>
      <c r="B26" s="312" t="s">
        <v>186</v>
      </c>
      <c r="C26" s="316"/>
      <c r="D26" s="118"/>
      <c r="E26" s="312" t="s">
        <v>185</v>
      </c>
      <c r="F26" s="313"/>
      <c r="G26" s="300" t="str">
        <f>VLOOKUP($B$1,Lookup!$A$41:$I$44,8,FALSE)</f>
        <v>lost</v>
      </c>
      <c r="H26" s="298" t="s">
        <v>81</v>
      </c>
      <c r="I26" s="119"/>
      <c r="J26" s="117"/>
      <c r="K26" s="231"/>
      <c r="L26" s="102">
        <f>IF(H26="y",1,IF(I26="y",2,0))</f>
        <v>1</v>
      </c>
      <c r="M26" s="228"/>
    </row>
    <row r="27" spans="1:13" s="101" customFormat="1" ht="19.5" customHeight="1" thickBot="1">
      <c r="A27" s="114">
        <v>9</v>
      </c>
      <c r="B27" s="312" t="s">
        <v>191</v>
      </c>
      <c r="C27" s="316"/>
      <c r="D27" s="118"/>
      <c r="E27" s="312" t="s">
        <v>188</v>
      </c>
      <c r="F27" s="313"/>
      <c r="G27" s="301" t="str">
        <f>VLOOKUP($B$1,Lookup!$A$41:$I$44,9,FALSE)</f>
        <v>won</v>
      </c>
      <c r="H27" s="298"/>
      <c r="I27" s="119"/>
      <c r="J27" s="117"/>
      <c r="K27" s="231"/>
      <c r="L27" s="102">
        <f>IF(H27="y",1,IF(I27="y",2,0))</f>
        <v>0</v>
      </c>
      <c r="M27" s="228"/>
    </row>
    <row r="28" spans="1:13" ht="18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2</v>
      </c>
      <c r="M28" s="230"/>
    </row>
    <row r="29" spans="11:13" ht="15.75" thickBot="1">
      <c r="K29" s="229"/>
      <c r="L29" s="226"/>
      <c r="M29" s="230"/>
    </row>
    <row r="30" spans="1:13" s="101" customFormat="1" ht="19.5" customHeight="1" thickBot="1">
      <c r="A30" s="318" t="s">
        <v>55</v>
      </c>
      <c r="B30" s="319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19.5" customHeight="1" thickBot="1">
      <c r="A31" s="114">
        <v>10</v>
      </c>
      <c r="B31" s="314" t="s">
        <v>189</v>
      </c>
      <c r="C31" s="315"/>
      <c r="D31" s="115"/>
      <c r="E31" s="314" t="s">
        <v>190</v>
      </c>
      <c r="F31" s="317"/>
      <c r="G31" s="299" t="str">
        <f>VLOOKUP($B$1,Lookup!$A$49:$I$52,4,FALSE)</f>
        <v>lost</v>
      </c>
      <c r="H31" s="116"/>
      <c r="I31" s="116"/>
      <c r="J31" s="117"/>
      <c r="K31" s="231"/>
      <c r="L31" s="102"/>
      <c r="M31" s="228"/>
    </row>
    <row r="32" spans="1:13" s="101" customFormat="1" ht="19.5" customHeight="1">
      <c r="A32" s="114">
        <v>11</v>
      </c>
      <c r="B32" s="312" t="s">
        <v>191</v>
      </c>
      <c r="C32" s="316"/>
      <c r="D32" s="118"/>
      <c r="E32" s="314" t="s">
        <v>188</v>
      </c>
      <c r="F32" s="317"/>
      <c r="G32" s="300" t="str">
        <f>VLOOKUP($B$1,Lookup!$A$49:$I$52,5,FALSE)</f>
        <v>lost</v>
      </c>
      <c r="H32" s="298"/>
      <c r="I32" s="119"/>
      <c r="J32" s="117"/>
      <c r="K32" s="231"/>
      <c r="L32" s="102">
        <f>IF(H32="y",1,IF(I32="y",2,0))</f>
        <v>0</v>
      </c>
      <c r="M32" s="228"/>
    </row>
    <row r="33" spans="1:13" s="101" customFormat="1" ht="19.5" customHeight="1" thickBot="1">
      <c r="A33" s="114">
        <v>12</v>
      </c>
      <c r="B33" s="312" t="s">
        <v>192</v>
      </c>
      <c r="C33" s="316"/>
      <c r="D33" s="118"/>
      <c r="E33" s="312" t="s">
        <v>190</v>
      </c>
      <c r="F33" s="313"/>
      <c r="G33" s="301" t="str">
        <f>VLOOKUP($B$1,Lookup!$A$49:$I$52,6,FALSE)</f>
        <v>won</v>
      </c>
      <c r="H33" s="298" t="s">
        <v>81</v>
      </c>
      <c r="I33" s="119"/>
      <c r="J33" s="117"/>
      <c r="K33" s="231"/>
      <c r="L33" s="102">
        <f>IF(H33="y",1,IF(I33="y",2,0))</f>
        <v>1</v>
      </c>
      <c r="M33" s="228"/>
    </row>
    <row r="34" spans="7:13" ht="9.75" customHeight="1" thickBot="1">
      <c r="G34" s="241"/>
      <c r="K34" s="229"/>
      <c r="L34" s="226"/>
      <c r="M34" s="230"/>
    </row>
    <row r="35" spans="1:13" s="101" customFormat="1" ht="19.5" customHeight="1" thickBot="1">
      <c r="A35" s="318" t="s">
        <v>56</v>
      </c>
      <c r="B35" s="319"/>
      <c r="C35" s="127" t="str">
        <f>Master!$B$22</f>
        <v>Westminster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19.5" customHeight="1">
      <c r="A36" s="114">
        <v>13</v>
      </c>
      <c r="B36" s="312" t="s">
        <v>193</v>
      </c>
      <c r="C36" s="316"/>
      <c r="D36" s="115"/>
      <c r="E36" s="314" t="s">
        <v>194</v>
      </c>
      <c r="F36" s="317"/>
      <c r="G36" s="299" t="str">
        <f>VLOOKUP($B$1,Lookup!$A$49:$I$52,7,FALSE)</f>
        <v>won</v>
      </c>
      <c r="H36" s="298"/>
      <c r="I36" s="119"/>
      <c r="J36" s="117"/>
      <c r="K36" s="231"/>
      <c r="L36" s="102">
        <f>IF(H36="y",1,IF(I36="y",2,0))</f>
        <v>0</v>
      </c>
      <c r="M36" s="228"/>
    </row>
    <row r="37" spans="1:13" s="101" customFormat="1" ht="19.5" customHeight="1">
      <c r="A37" s="114">
        <v>14</v>
      </c>
      <c r="B37" s="312" t="s">
        <v>189</v>
      </c>
      <c r="C37" s="316"/>
      <c r="D37" s="118"/>
      <c r="E37" s="312" t="s">
        <v>190</v>
      </c>
      <c r="F37" s="313"/>
      <c r="G37" s="300" t="str">
        <f>VLOOKUP($B$1,Lookup!$A$49:$I$52,8,FALSE)</f>
        <v>won</v>
      </c>
      <c r="H37" s="298"/>
      <c r="I37" s="119" t="s">
        <v>81</v>
      </c>
      <c r="J37" s="117"/>
      <c r="K37" s="231"/>
      <c r="L37" s="102">
        <f>IF(H37="y",1,IF(I37="y",2,0))</f>
        <v>2</v>
      </c>
      <c r="M37" s="228"/>
    </row>
    <row r="38" spans="1:13" s="101" customFormat="1" ht="19.5" customHeight="1" thickBot="1">
      <c r="A38" s="114">
        <v>15</v>
      </c>
      <c r="B38" s="328" t="s">
        <v>193</v>
      </c>
      <c r="C38" s="329"/>
      <c r="D38" s="118"/>
      <c r="E38" s="328" t="s">
        <v>194</v>
      </c>
      <c r="F38" s="337"/>
      <c r="G38" s="301" t="str">
        <f>VLOOKUP($B$1,Lookup!$A$49:$I$52,9,FALSE)</f>
        <v>won</v>
      </c>
      <c r="H38" s="298"/>
      <c r="I38" s="119" t="s">
        <v>81</v>
      </c>
      <c r="J38" s="117"/>
      <c r="K38" s="231"/>
      <c r="L38" s="102">
        <f>IF(H38="y",1,IF(I38="y",2,0))</f>
        <v>2</v>
      </c>
      <c r="M38" s="228"/>
    </row>
    <row r="39" spans="11:13" ht="18.75" thickBot="1">
      <c r="K39" s="233" t="s">
        <v>83</v>
      </c>
      <c r="L39" s="234">
        <f>SUM(L32:L38)</f>
        <v>5</v>
      </c>
      <c r="M39" s="235"/>
    </row>
  </sheetData>
  <sheetProtection password="CAEF" sheet="1" objects="1" scenarios="1" selectLockedCells="1"/>
  <mergeCells count="48">
    <mergeCell ref="A19:B19"/>
    <mergeCell ref="B16:C16"/>
    <mergeCell ref="A13:B13"/>
    <mergeCell ref="E11:F11"/>
    <mergeCell ref="E15:F15"/>
    <mergeCell ref="E16:F16"/>
    <mergeCell ref="B22:C22"/>
    <mergeCell ref="G3:I3"/>
    <mergeCell ref="G4:I4"/>
    <mergeCell ref="B7:C7"/>
    <mergeCell ref="E7:F7"/>
    <mergeCell ref="B3:D3"/>
    <mergeCell ref="E14:F14"/>
    <mergeCell ref="A8:B8"/>
    <mergeCell ref="B21:C21"/>
    <mergeCell ref="B20:C20"/>
    <mergeCell ref="B10:C10"/>
    <mergeCell ref="B11:C11"/>
    <mergeCell ref="B14:C14"/>
    <mergeCell ref="B15:C15"/>
    <mergeCell ref="A35:B35"/>
    <mergeCell ref="K7:M7"/>
    <mergeCell ref="E36:F36"/>
    <mergeCell ref="E37:F37"/>
    <mergeCell ref="E9:F9"/>
    <mergeCell ref="E10:F10"/>
    <mergeCell ref="E20:F20"/>
    <mergeCell ref="E25:F25"/>
    <mergeCell ref="A24:B24"/>
    <mergeCell ref="B9:C9"/>
    <mergeCell ref="E21:F21"/>
    <mergeCell ref="E22:F22"/>
    <mergeCell ref="B38:C38"/>
    <mergeCell ref="B27:C27"/>
    <mergeCell ref="B31:C31"/>
    <mergeCell ref="B32:C32"/>
    <mergeCell ref="B33:C33"/>
    <mergeCell ref="A30:B30"/>
    <mergeCell ref="B36:C36"/>
    <mergeCell ref="B37:C37"/>
    <mergeCell ref="E32:F32"/>
    <mergeCell ref="E26:F26"/>
    <mergeCell ref="E38:F38"/>
    <mergeCell ref="E33:F33"/>
    <mergeCell ref="E27:F27"/>
    <mergeCell ref="B25:C25"/>
    <mergeCell ref="B26:C26"/>
    <mergeCell ref="E31:F31"/>
  </mergeCells>
  <conditionalFormatting sqref="G20:G27 G9:G16 G31:G38">
    <cfRule type="cellIs" priority="1" dxfId="22" operator="equal" stopIfTrue="1">
      <formula>"won"</formula>
    </cfRule>
    <cfRule type="cellIs" priority="2" dxfId="21" operator="equal" stopIfTrue="1">
      <formula>"drew"</formula>
    </cfRule>
  </conditionalFormatting>
  <dataValidations count="1">
    <dataValidation type="list" allowBlank="1" showInputMessage="1" showErrorMessage="1" sqref="H10:I11 H36:I38 H32:I33 H25:I27 H21:I22 H14:I16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B3" sqref="B3:D3"/>
    </sheetView>
  </sheetViews>
  <sheetFormatPr defaultColWidth="11.421875" defaultRowHeight="12.75"/>
  <cols>
    <col min="1" max="1" width="15.00390625" style="121" customWidth="1"/>
    <col min="2" max="3" width="13.8515625" style="121" customWidth="1"/>
    <col min="4" max="4" width="1.8515625" style="121" customWidth="1"/>
    <col min="5" max="6" width="13.8515625" style="121" customWidth="1"/>
    <col min="7" max="7" width="8.8515625" style="121" customWidth="1"/>
    <col min="8" max="9" width="10.00390625" style="122" customWidth="1"/>
    <col min="10" max="10" width="10.00390625" style="121" customWidth="1"/>
    <col min="11" max="16384" width="11.421875" style="121" customWidth="1"/>
  </cols>
  <sheetData>
    <row r="1" spans="1:10" s="99" customFormat="1" ht="23.25">
      <c r="A1" s="97" t="s">
        <v>80</v>
      </c>
      <c r="B1" s="100" t="str">
        <f>IF(Master!A28="","",Master!A28)</f>
        <v>B</v>
      </c>
      <c r="C1" s="97" t="str">
        <f>IF(Master!B28="","",Master!B28)</f>
        <v>South East</v>
      </c>
      <c r="D1" s="98"/>
      <c r="G1" s="100"/>
      <c r="H1" s="100"/>
      <c r="I1" s="100"/>
      <c r="J1" s="100"/>
    </row>
    <row r="2" spans="2:9" s="101" customFormat="1" ht="19.5" customHeight="1">
      <c r="B2" s="102"/>
      <c r="H2" s="103"/>
      <c r="I2" s="103"/>
    </row>
    <row r="3" spans="1:9" s="101" customFormat="1" ht="19.5" customHeight="1">
      <c r="A3" s="104" t="s">
        <v>44</v>
      </c>
      <c r="B3" s="334" t="s">
        <v>135</v>
      </c>
      <c r="C3" s="335"/>
      <c r="D3" s="307"/>
      <c r="F3" s="105" t="s">
        <v>27</v>
      </c>
      <c r="G3" s="330" t="str">
        <f>Master!$B$3</f>
        <v>Streatham</v>
      </c>
      <c r="H3" s="331"/>
      <c r="I3" s="332"/>
    </row>
    <row r="4" spans="6:9" s="101" customFormat="1" ht="19.5" customHeight="1">
      <c r="F4" s="105" t="s">
        <v>28</v>
      </c>
      <c r="G4" s="330" t="str">
        <f>Master!$B$4</f>
        <v>18th October 2014</v>
      </c>
      <c r="H4" s="331"/>
      <c r="I4" s="332"/>
    </row>
    <row r="5" spans="6:9" s="101" customFormat="1" ht="19.5" customHeight="1">
      <c r="F5" s="105" t="s">
        <v>29</v>
      </c>
      <c r="G5" s="106" t="str">
        <f>Master!$B$5</f>
        <v>4:30 - 8:00 pm</v>
      </c>
      <c r="H5" s="107"/>
      <c r="I5" s="108"/>
    </row>
    <row r="6" spans="1:9" s="101" customFormat="1" ht="19.5" customHeight="1" thickBot="1">
      <c r="A6" s="109"/>
      <c r="B6" s="110"/>
      <c r="C6" s="110"/>
      <c r="D6" s="110"/>
      <c r="H6" s="103"/>
      <c r="I6" s="103"/>
    </row>
    <row r="7" spans="1:13" s="101" customFormat="1" ht="19.5" customHeight="1" thickBot="1">
      <c r="A7" s="101" t="s">
        <v>45</v>
      </c>
      <c r="B7" s="333" t="s">
        <v>46</v>
      </c>
      <c r="C7" s="333"/>
      <c r="E7" s="333" t="s">
        <v>47</v>
      </c>
      <c r="F7" s="333"/>
      <c r="G7" s="103" t="s">
        <v>12</v>
      </c>
      <c r="H7" s="103" t="s">
        <v>48</v>
      </c>
      <c r="I7" s="103" t="s">
        <v>48</v>
      </c>
      <c r="K7" s="320" t="s">
        <v>84</v>
      </c>
      <c r="L7" s="321"/>
      <c r="M7" s="322"/>
    </row>
    <row r="8" spans="1:13" s="101" customFormat="1" ht="19.5" customHeight="1" thickBot="1">
      <c r="A8" s="306" t="s">
        <v>49</v>
      </c>
      <c r="B8" s="336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19.5" customHeight="1">
      <c r="A9" s="114">
        <v>1</v>
      </c>
      <c r="B9" s="314" t="s">
        <v>130</v>
      </c>
      <c r="C9" s="315"/>
      <c r="D9" s="115"/>
      <c r="E9" s="314" t="s">
        <v>131</v>
      </c>
      <c r="F9" s="317"/>
      <c r="G9" s="299" t="str">
        <f>VLOOKUP(B$1,Lookup!$A$33:$I$36,4,FALSE)</f>
        <v>won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19.5" customHeight="1">
      <c r="A10" s="114">
        <v>2</v>
      </c>
      <c r="B10" s="312" t="s">
        <v>132</v>
      </c>
      <c r="C10" s="316"/>
      <c r="D10" s="118"/>
      <c r="E10" s="312" t="s">
        <v>133</v>
      </c>
      <c r="F10" s="313"/>
      <c r="G10" s="300" t="str">
        <f>VLOOKUP(B$1,Lookup!$A$33:$I$36,5,FALSE)</f>
        <v>lost</v>
      </c>
      <c r="H10" s="298"/>
      <c r="I10" s="119"/>
      <c r="J10" s="120" t="s">
        <v>78</v>
      </c>
      <c r="K10" s="237" t="s">
        <v>78</v>
      </c>
      <c r="L10" s="102">
        <f>IF(H10="y",1,IF(I10="y",2,0))</f>
        <v>0</v>
      </c>
      <c r="M10" s="228"/>
    </row>
    <row r="11" spans="1:13" s="101" customFormat="1" ht="19.5" customHeight="1" thickBot="1">
      <c r="A11" s="114">
        <v>3</v>
      </c>
      <c r="B11" s="312" t="s">
        <v>134</v>
      </c>
      <c r="C11" s="316"/>
      <c r="D11" s="118"/>
      <c r="E11" s="312" t="s">
        <v>135</v>
      </c>
      <c r="F11" s="313"/>
      <c r="G11" s="301" t="str">
        <f>VLOOKUP(B$1,Lookup!$A$33:$I$36,6,FALSE)</f>
        <v>won</v>
      </c>
      <c r="H11" s="298"/>
      <c r="I11" s="119"/>
      <c r="J11" s="117"/>
      <c r="K11" s="238" t="s">
        <v>81</v>
      </c>
      <c r="L11" s="102">
        <f>IF(H11="y",1,IF(I11="y",2,0))</f>
        <v>0</v>
      </c>
      <c r="M11" s="228"/>
    </row>
    <row r="12" spans="7:13" ht="9.75" customHeight="1" thickBot="1">
      <c r="G12" s="241"/>
      <c r="K12" s="229"/>
      <c r="L12" s="226"/>
      <c r="M12" s="230"/>
    </row>
    <row r="13" spans="1:13" s="101" customFormat="1" ht="19.5" customHeight="1" thickBot="1">
      <c r="A13" s="306" t="s">
        <v>52</v>
      </c>
      <c r="B13" s="336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19.5" customHeight="1">
      <c r="A14" s="114">
        <v>1</v>
      </c>
      <c r="B14" s="314" t="s">
        <v>136</v>
      </c>
      <c r="C14" s="315"/>
      <c r="D14" s="115"/>
      <c r="E14" s="314" t="s">
        <v>137</v>
      </c>
      <c r="F14" s="317"/>
      <c r="G14" s="299" t="str">
        <f>VLOOKUP(B$1,Lookup!$A$33:$I$36,7,FALSE)</f>
        <v>lost</v>
      </c>
      <c r="H14" s="298"/>
      <c r="I14" s="119"/>
      <c r="J14" s="117"/>
      <c r="K14" s="231"/>
      <c r="L14" s="102">
        <f>IF(H14="y",1,IF(I14="y",2,0))</f>
        <v>0</v>
      </c>
      <c r="M14" s="228"/>
    </row>
    <row r="15" spans="1:13" s="101" customFormat="1" ht="19.5" customHeight="1">
      <c r="A15" s="114">
        <v>2</v>
      </c>
      <c r="B15" s="312" t="s">
        <v>138</v>
      </c>
      <c r="C15" s="316"/>
      <c r="D15" s="118"/>
      <c r="E15" s="312" t="s">
        <v>139</v>
      </c>
      <c r="F15" s="313"/>
      <c r="G15" s="300" t="str">
        <f>VLOOKUP(B$1,Lookup!$A$33:$I$36,8,FALSE)</f>
        <v>lost</v>
      </c>
      <c r="H15" s="298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19.5" customHeight="1" thickBot="1">
      <c r="A16" s="114">
        <v>3</v>
      </c>
      <c r="B16" s="312" t="s">
        <v>140</v>
      </c>
      <c r="C16" s="316"/>
      <c r="D16" s="118"/>
      <c r="E16" s="312" t="s">
        <v>141</v>
      </c>
      <c r="F16" s="313"/>
      <c r="G16" s="301" t="str">
        <f>VLOOKUP(B$1,Lookup!$A$33:$I$36,9,FALSE)</f>
        <v>lost</v>
      </c>
      <c r="H16" s="298"/>
      <c r="I16" s="119"/>
      <c r="J16" s="117"/>
      <c r="K16" s="231"/>
      <c r="L16" s="102">
        <f>IF(H16="y",1,IF(I16="y",2,0))</f>
        <v>0</v>
      </c>
      <c r="M16" s="228"/>
    </row>
    <row r="17" spans="1:13" ht="18">
      <c r="A17" s="123"/>
      <c r="B17" s="123"/>
      <c r="C17" s="123"/>
      <c r="D17" s="123"/>
      <c r="E17" s="123"/>
      <c r="F17" s="123"/>
      <c r="G17" s="123"/>
      <c r="H17" s="124"/>
      <c r="I17" s="124"/>
      <c r="K17" s="232" t="s">
        <v>83</v>
      </c>
      <c r="L17" s="227">
        <f>SUM(L10:L16)</f>
        <v>0</v>
      </c>
      <c r="M17" s="230"/>
    </row>
    <row r="18" spans="11:13" ht="15.75" thickBot="1">
      <c r="K18" s="229"/>
      <c r="L18" s="226"/>
      <c r="M18" s="230"/>
    </row>
    <row r="19" spans="1:13" s="101" customFormat="1" ht="19.5" customHeight="1" thickBot="1">
      <c r="A19" s="325" t="s">
        <v>53</v>
      </c>
      <c r="B19" s="326"/>
      <c r="C19" s="125" t="str">
        <f>Master!$B$15</f>
        <v>Ten Fox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19.5" customHeight="1">
      <c r="A20" s="114">
        <v>4</v>
      </c>
      <c r="B20" s="314" t="s">
        <v>142</v>
      </c>
      <c r="C20" s="315"/>
      <c r="D20" s="115"/>
      <c r="E20" s="314" t="s">
        <v>135</v>
      </c>
      <c r="F20" s="317"/>
      <c r="G20" s="299" t="str">
        <f>VLOOKUP($B$1,Lookup!$A$41:$I$44,4,FALSE)</f>
        <v>won</v>
      </c>
      <c r="H20" s="116"/>
      <c r="I20" s="116"/>
      <c r="J20" s="117"/>
      <c r="K20" s="231"/>
      <c r="L20" s="102"/>
      <c r="M20" s="228"/>
    </row>
    <row r="21" spans="1:13" s="101" customFormat="1" ht="19.5" customHeight="1">
      <c r="A21" s="114">
        <v>5</v>
      </c>
      <c r="B21" s="312" t="s">
        <v>136</v>
      </c>
      <c r="C21" s="316"/>
      <c r="D21" s="118"/>
      <c r="E21" s="312" t="s">
        <v>143</v>
      </c>
      <c r="F21" s="313"/>
      <c r="G21" s="300" t="str">
        <f>VLOOKUP($B$1,Lookup!$A$41:$I$44,5,FALSE)</f>
        <v>lost</v>
      </c>
      <c r="H21" s="298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19.5" customHeight="1" thickBot="1">
      <c r="A22" s="114">
        <v>6</v>
      </c>
      <c r="B22" s="312" t="s">
        <v>144</v>
      </c>
      <c r="C22" s="316"/>
      <c r="D22" s="118"/>
      <c r="E22" s="312" t="s">
        <v>145</v>
      </c>
      <c r="F22" s="313"/>
      <c r="G22" s="301" t="str">
        <f>VLOOKUP($B$1,Lookup!$A$41:$I$44,6,FALSE)</f>
        <v>won</v>
      </c>
      <c r="H22" s="298"/>
      <c r="I22" s="119"/>
      <c r="J22" s="117"/>
      <c r="K22" s="231"/>
      <c r="L22" s="102">
        <f>IF(H22="y",1,IF(I22="y",2,0))</f>
        <v>0</v>
      </c>
      <c r="M22" s="228"/>
    </row>
    <row r="23" spans="7:13" ht="9.75" customHeight="1" thickBot="1">
      <c r="G23" s="241"/>
      <c r="K23" s="229"/>
      <c r="L23" s="226"/>
      <c r="M23" s="230"/>
    </row>
    <row r="24" spans="1:13" s="101" customFormat="1" ht="19.5" customHeight="1" thickBot="1">
      <c r="A24" s="325" t="s">
        <v>54</v>
      </c>
      <c r="B24" s="326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19.5" customHeight="1">
      <c r="A25" s="114">
        <v>7</v>
      </c>
      <c r="B25" s="314" t="s">
        <v>146</v>
      </c>
      <c r="C25" s="315"/>
      <c r="D25" s="115"/>
      <c r="E25" s="314" t="s">
        <v>147</v>
      </c>
      <c r="F25" s="317"/>
      <c r="G25" s="299" t="str">
        <f>VLOOKUP($B$1,Lookup!$A$41:$I$44,7,FALSE)</f>
        <v>won</v>
      </c>
      <c r="H25" s="298"/>
      <c r="I25" s="119"/>
      <c r="J25" s="117"/>
      <c r="K25" s="231"/>
      <c r="L25" s="102">
        <f>IF(H25="y",1,IF(I25="y",2,0))</f>
        <v>0</v>
      </c>
      <c r="M25" s="228"/>
    </row>
    <row r="26" spans="1:13" s="101" customFormat="1" ht="19.5" customHeight="1">
      <c r="A26" s="114">
        <v>8</v>
      </c>
      <c r="B26" s="312" t="s">
        <v>148</v>
      </c>
      <c r="C26" s="316"/>
      <c r="D26" s="118"/>
      <c r="E26" s="312" t="s">
        <v>143</v>
      </c>
      <c r="F26" s="313"/>
      <c r="G26" s="300" t="str">
        <f>VLOOKUP($B$1,Lookup!$A$41:$I$44,8,FALSE)</f>
        <v>lost</v>
      </c>
      <c r="H26" s="298" t="s">
        <v>81</v>
      </c>
      <c r="I26" s="119"/>
      <c r="J26" s="117"/>
      <c r="K26" s="231"/>
      <c r="L26" s="102">
        <f>IF(H26="y",1,IF(I26="y",2,0))</f>
        <v>1</v>
      </c>
      <c r="M26" s="228"/>
    </row>
    <row r="27" spans="1:13" s="101" customFormat="1" ht="19.5" customHeight="1" thickBot="1">
      <c r="A27" s="114">
        <v>9</v>
      </c>
      <c r="B27" s="312" t="s">
        <v>150</v>
      </c>
      <c r="C27" s="316"/>
      <c r="D27" s="118"/>
      <c r="E27" s="312" t="s">
        <v>149</v>
      </c>
      <c r="F27" s="313"/>
      <c r="G27" s="301" t="str">
        <f>VLOOKUP($B$1,Lookup!$A$41:$I$44,9,FALSE)</f>
        <v>lost</v>
      </c>
      <c r="H27" s="298"/>
      <c r="I27" s="119"/>
      <c r="J27" s="117"/>
      <c r="K27" s="231"/>
      <c r="L27" s="102">
        <f>IF(H27="y",1,IF(I27="y",2,0))</f>
        <v>0</v>
      </c>
      <c r="M27" s="228"/>
    </row>
    <row r="28" spans="1:13" ht="18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1</v>
      </c>
      <c r="M28" s="230"/>
    </row>
    <row r="29" spans="11:13" ht="15.75" thickBot="1">
      <c r="K29" s="229"/>
      <c r="L29" s="226"/>
      <c r="M29" s="230"/>
    </row>
    <row r="30" spans="1:13" s="101" customFormat="1" ht="19.5" customHeight="1" thickBot="1">
      <c r="A30" s="318" t="s">
        <v>55</v>
      </c>
      <c r="B30" s="319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19.5" customHeight="1">
      <c r="A31" s="114">
        <v>10</v>
      </c>
      <c r="B31" s="314" t="s">
        <v>144</v>
      </c>
      <c r="C31" s="315"/>
      <c r="D31" s="115"/>
      <c r="E31" s="314" t="s">
        <v>149</v>
      </c>
      <c r="F31" s="317"/>
      <c r="G31" s="299" t="str">
        <f>VLOOKUP($B$1,Lookup!$A$49:$I$52,4,FALSE)</f>
        <v>won</v>
      </c>
      <c r="H31" s="116"/>
      <c r="I31" s="116"/>
      <c r="J31" s="117"/>
      <c r="K31" s="231"/>
      <c r="L31" s="102"/>
      <c r="M31" s="228"/>
    </row>
    <row r="32" spans="1:13" s="101" customFormat="1" ht="19.5" customHeight="1">
      <c r="A32" s="114">
        <v>11</v>
      </c>
      <c r="B32" s="312" t="s">
        <v>150</v>
      </c>
      <c r="C32" s="316"/>
      <c r="D32" s="118"/>
      <c r="E32" s="312" t="s">
        <v>149</v>
      </c>
      <c r="F32" s="313"/>
      <c r="G32" s="300" t="str">
        <f>VLOOKUP($B$1,Lookup!$A$49:$I$52,5,FALSE)</f>
        <v>won</v>
      </c>
      <c r="H32" s="298" t="s">
        <v>81</v>
      </c>
      <c r="I32" s="119"/>
      <c r="J32" s="117"/>
      <c r="K32" s="231"/>
      <c r="L32" s="102">
        <f>IF(H32="y",1,IF(I32="y",2,0))</f>
        <v>1</v>
      </c>
      <c r="M32" s="228"/>
    </row>
    <row r="33" spans="1:13" s="101" customFormat="1" ht="19.5" customHeight="1" thickBot="1">
      <c r="A33" s="114">
        <v>12</v>
      </c>
      <c r="B33" s="312" t="s">
        <v>151</v>
      </c>
      <c r="C33" s="338"/>
      <c r="D33" s="118"/>
      <c r="E33" s="312" t="s">
        <v>135</v>
      </c>
      <c r="F33" s="313"/>
      <c r="G33" s="301" t="str">
        <f>VLOOKUP($B$1,Lookup!$A$49:$I$52,6,FALSE)</f>
        <v>lost</v>
      </c>
      <c r="H33" s="298"/>
      <c r="I33" s="119"/>
      <c r="J33" s="117"/>
      <c r="K33" s="231"/>
      <c r="L33" s="102">
        <f>IF(H33="y",1,IF(I33="y",2,0))</f>
        <v>0</v>
      </c>
      <c r="M33" s="228"/>
    </row>
    <row r="34" spans="7:13" ht="9.75" customHeight="1" thickBot="1">
      <c r="G34" s="241"/>
      <c r="K34" s="229"/>
      <c r="L34" s="226"/>
      <c r="M34" s="230"/>
    </row>
    <row r="35" spans="1:13" s="101" customFormat="1" ht="19.5" customHeight="1" thickBot="1">
      <c r="A35" s="318" t="s">
        <v>56</v>
      </c>
      <c r="B35" s="319"/>
      <c r="C35" s="127" t="str">
        <f>Master!$B$22</f>
        <v>Westminster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19.5" customHeight="1">
      <c r="A36" s="114">
        <v>13</v>
      </c>
      <c r="B36" s="314" t="s">
        <v>150</v>
      </c>
      <c r="C36" s="315"/>
      <c r="D36" s="115"/>
      <c r="E36" s="314" t="s">
        <v>149</v>
      </c>
      <c r="F36" s="317"/>
      <c r="G36" s="299" t="str">
        <f>VLOOKUP($B$1,Lookup!$A$49:$I$52,7,FALSE)</f>
        <v>won</v>
      </c>
      <c r="H36" s="298"/>
      <c r="I36" s="119" t="s">
        <v>81</v>
      </c>
      <c r="J36" s="117"/>
      <c r="K36" s="231"/>
      <c r="L36" s="102">
        <f>IF(H36="y",1,IF(I36="y",2,0))</f>
        <v>2</v>
      </c>
      <c r="M36" s="228"/>
    </row>
    <row r="37" spans="1:13" s="101" customFormat="1" ht="19.5" customHeight="1">
      <c r="A37" s="114">
        <v>14</v>
      </c>
      <c r="B37" s="312" t="s">
        <v>217</v>
      </c>
      <c r="C37" s="316"/>
      <c r="D37" s="118"/>
      <c r="E37" s="312" t="s">
        <v>149</v>
      </c>
      <c r="F37" s="339"/>
      <c r="G37" s="300" t="str">
        <f>VLOOKUP($B$1,Lookup!$A$49:$I$52,8,FALSE)</f>
        <v>lost</v>
      </c>
      <c r="H37" s="298" t="s">
        <v>81</v>
      </c>
      <c r="I37" s="119"/>
      <c r="J37" s="117"/>
      <c r="K37" s="231"/>
      <c r="L37" s="102">
        <f>IF(H37="y",1,IF(I37="y",2,0))</f>
        <v>1</v>
      </c>
      <c r="M37" s="228"/>
    </row>
    <row r="38" spans="1:13" s="101" customFormat="1" ht="19.5" customHeight="1" thickBot="1">
      <c r="A38" s="114">
        <v>15</v>
      </c>
      <c r="B38" s="312" t="s">
        <v>150</v>
      </c>
      <c r="C38" s="316"/>
      <c r="D38" s="118"/>
      <c r="E38" s="312" t="s">
        <v>149</v>
      </c>
      <c r="F38" s="313"/>
      <c r="G38" s="301" t="str">
        <f>VLOOKUP($B$1,Lookup!$A$49:$I$52,9,FALSE)</f>
        <v>lost</v>
      </c>
      <c r="H38" s="298"/>
      <c r="I38" s="119" t="s">
        <v>81</v>
      </c>
      <c r="J38" s="117"/>
      <c r="K38" s="231"/>
      <c r="L38" s="102">
        <f>IF(H38="y",1,IF(I38="y",2,0))</f>
        <v>2</v>
      </c>
      <c r="M38" s="228"/>
    </row>
    <row r="39" spans="11:13" ht="18.75" thickBot="1">
      <c r="K39" s="233" t="s">
        <v>83</v>
      </c>
      <c r="L39" s="234">
        <f>SUM(L32:L38)</f>
        <v>6</v>
      </c>
      <c r="M39" s="235"/>
    </row>
  </sheetData>
  <sheetProtection password="CAEF" sheet="1" objects="1" scenarios="1" selectLockedCells="1"/>
  <mergeCells count="48">
    <mergeCell ref="E31:F31"/>
    <mergeCell ref="E32:F32"/>
    <mergeCell ref="E33:F33"/>
    <mergeCell ref="E36:F36"/>
    <mergeCell ref="E37:F37"/>
    <mergeCell ref="E38:F38"/>
    <mergeCell ref="B36:C36"/>
    <mergeCell ref="B37:C37"/>
    <mergeCell ref="B38:C38"/>
    <mergeCell ref="E14:F14"/>
    <mergeCell ref="E15:F15"/>
    <mergeCell ref="E16:F16"/>
    <mergeCell ref="E20:F20"/>
    <mergeCell ref="E21:F21"/>
    <mergeCell ref="E22:F22"/>
    <mergeCell ref="E25:F25"/>
    <mergeCell ref="E9:F9"/>
    <mergeCell ref="E10:F10"/>
    <mergeCell ref="E11:F11"/>
    <mergeCell ref="A30:B30"/>
    <mergeCell ref="B14:C14"/>
    <mergeCell ref="B15:C15"/>
    <mergeCell ref="E26:F26"/>
    <mergeCell ref="E27:F27"/>
    <mergeCell ref="A35:B35"/>
    <mergeCell ref="A8:B8"/>
    <mergeCell ref="A13:B13"/>
    <mergeCell ref="A19:B19"/>
    <mergeCell ref="A24:B24"/>
    <mergeCell ref="B9:C9"/>
    <mergeCell ref="B27:C27"/>
    <mergeCell ref="B31:C31"/>
    <mergeCell ref="B32:C32"/>
    <mergeCell ref="B33:C33"/>
    <mergeCell ref="K7:M7"/>
    <mergeCell ref="G3:I3"/>
    <mergeCell ref="G4:I4"/>
    <mergeCell ref="B7:C7"/>
    <mergeCell ref="E7:F7"/>
    <mergeCell ref="B3:D3"/>
    <mergeCell ref="B10:C10"/>
    <mergeCell ref="B11:C11"/>
    <mergeCell ref="B25:C25"/>
    <mergeCell ref="B26:C26"/>
    <mergeCell ref="B16:C16"/>
    <mergeCell ref="B20:C20"/>
    <mergeCell ref="B21:C21"/>
    <mergeCell ref="B22:C22"/>
  </mergeCells>
  <conditionalFormatting sqref="G20:G27 G9:G16 G31:G38">
    <cfRule type="cellIs" priority="1" dxfId="22" operator="equal" stopIfTrue="1">
      <formula>"won"</formula>
    </cfRule>
    <cfRule type="cellIs" priority="2" dxfId="21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5">
      <selection activeCell="E21" sqref="E21:F21"/>
    </sheetView>
  </sheetViews>
  <sheetFormatPr defaultColWidth="11.421875" defaultRowHeight="12.75"/>
  <cols>
    <col min="1" max="1" width="15.00390625" style="121" customWidth="1"/>
    <col min="2" max="3" width="13.8515625" style="121" customWidth="1"/>
    <col min="4" max="4" width="1.8515625" style="121" customWidth="1"/>
    <col min="5" max="6" width="13.8515625" style="121" customWidth="1"/>
    <col min="7" max="7" width="8.8515625" style="121" customWidth="1"/>
    <col min="8" max="9" width="10.00390625" style="122" customWidth="1"/>
    <col min="10" max="10" width="10.00390625" style="121" customWidth="1"/>
    <col min="11" max="16384" width="11.421875" style="121" customWidth="1"/>
  </cols>
  <sheetData>
    <row r="1" spans="1:10" s="99" customFormat="1" ht="23.25">
      <c r="A1" s="97" t="s">
        <v>80</v>
      </c>
      <c r="B1" s="100" t="str">
        <f>IF(Master!A29="","",Master!A29)</f>
        <v>A</v>
      </c>
      <c r="C1" s="97" t="str">
        <f>IF(Master!B29="","",Master!B29)</f>
        <v>South West</v>
      </c>
      <c r="D1" s="98"/>
      <c r="G1" s="100"/>
      <c r="H1" s="100"/>
      <c r="I1" s="100"/>
      <c r="J1" s="100"/>
    </row>
    <row r="2" spans="2:9" s="101" customFormat="1" ht="19.5" customHeight="1">
      <c r="B2" s="102"/>
      <c r="H2" s="103"/>
      <c r="I2" s="103"/>
    </row>
    <row r="3" spans="1:9" s="101" customFormat="1" ht="19.5" customHeight="1">
      <c r="A3" s="104" t="s">
        <v>44</v>
      </c>
      <c r="B3" s="334" t="s">
        <v>152</v>
      </c>
      <c r="C3" s="335"/>
      <c r="D3" s="307"/>
      <c r="F3" s="105" t="s">
        <v>27</v>
      </c>
      <c r="G3" s="330" t="str">
        <f>Master!$B$3</f>
        <v>Streatham</v>
      </c>
      <c r="H3" s="331"/>
      <c r="I3" s="332"/>
    </row>
    <row r="4" spans="6:9" s="101" customFormat="1" ht="19.5" customHeight="1">
      <c r="F4" s="105" t="s">
        <v>28</v>
      </c>
      <c r="G4" s="330" t="str">
        <f>Master!$B$4</f>
        <v>18th October 2014</v>
      </c>
      <c r="H4" s="331"/>
      <c r="I4" s="332"/>
    </row>
    <row r="5" spans="6:9" s="101" customFormat="1" ht="19.5" customHeight="1">
      <c r="F5" s="105" t="s">
        <v>29</v>
      </c>
      <c r="G5" s="106" t="str">
        <f>Master!$B$5</f>
        <v>4:30 - 8:00 pm</v>
      </c>
      <c r="H5" s="107"/>
      <c r="I5" s="108"/>
    </row>
    <row r="6" spans="1:9" s="101" customFormat="1" ht="19.5" customHeight="1" thickBot="1">
      <c r="A6" s="109"/>
      <c r="B6" s="110"/>
      <c r="C6" s="110"/>
      <c r="D6" s="110"/>
      <c r="H6" s="103"/>
      <c r="I6" s="103"/>
    </row>
    <row r="7" spans="1:13" s="101" customFormat="1" ht="19.5" customHeight="1" thickBot="1">
      <c r="A7" s="101" t="s">
        <v>45</v>
      </c>
      <c r="B7" s="333" t="s">
        <v>46</v>
      </c>
      <c r="C7" s="333"/>
      <c r="E7" s="333" t="s">
        <v>47</v>
      </c>
      <c r="F7" s="333"/>
      <c r="G7" s="103" t="s">
        <v>12</v>
      </c>
      <c r="H7" s="103" t="s">
        <v>48</v>
      </c>
      <c r="I7" s="103" t="s">
        <v>48</v>
      </c>
      <c r="K7" s="320" t="s">
        <v>84</v>
      </c>
      <c r="L7" s="321"/>
      <c r="M7" s="322"/>
    </row>
    <row r="8" spans="1:13" s="101" customFormat="1" ht="19.5" customHeight="1" thickBot="1">
      <c r="A8" s="306" t="s">
        <v>49</v>
      </c>
      <c r="B8" s="336"/>
      <c r="C8" s="111" t="str">
        <f>Master!$B$9</f>
        <v>Golden Skaters Waltz</v>
      </c>
      <c r="D8" s="112"/>
      <c r="E8" s="112"/>
      <c r="F8" s="113"/>
      <c r="H8" s="103" t="s">
        <v>50</v>
      </c>
      <c r="I8" s="103" t="s">
        <v>51</v>
      </c>
      <c r="K8" s="236" t="s">
        <v>85</v>
      </c>
      <c r="L8" s="102"/>
      <c r="M8" s="228"/>
    </row>
    <row r="9" spans="1:13" s="101" customFormat="1" ht="19.5" customHeight="1">
      <c r="A9" s="114">
        <v>1</v>
      </c>
      <c r="B9" s="314" t="s">
        <v>153</v>
      </c>
      <c r="C9" s="315"/>
      <c r="D9" s="115"/>
      <c r="E9" s="314" t="s">
        <v>154</v>
      </c>
      <c r="F9" s="317"/>
      <c r="G9" s="299" t="str">
        <f>VLOOKUP(B$1,Lookup!$A$33:$I$36,4,FALSE)</f>
        <v>lost</v>
      </c>
      <c r="H9" s="116"/>
      <c r="I9" s="116"/>
      <c r="J9" s="117"/>
      <c r="K9" s="237" t="s">
        <v>82</v>
      </c>
      <c r="L9" s="102" t="s">
        <v>86</v>
      </c>
      <c r="M9" s="228"/>
    </row>
    <row r="10" spans="1:13" s="101" customFormat="1" ht="19.5" customHeight="1">
      <c r="A10" s="114">
        <v>2</v>
      </c>
      <c r="B10" s="312" t="s">
        <v>156</v>
      </c>
      <c r="C10" s="316"/>
      <c r="D10" s="118"/>
      <c r="E10" s="312" t="s">
        <v>155</v>
      </c>
      <c r="F10" s="313"/>
      <c r="G10" s="300" t="str">
        <f>VLOOKUP(B$1,Lookup!$A$33:$I$36,5,FALSE)</f>
        <v>won</v>
      </c>
      <c r="H10" s="298"/>
      <c r="I10" s="119"/>
      <c r="J10" s="120" t="s">
        <v>78</v>
      </c>
      <c r="K10" s="237" t="s">
        <v>78</v>
      </c>
      <c r="L10" s="102">
        <f>IF(H10="y",1,IF(I10="y",2,0))</f>
        <v>0</v>
      </c>
      <c r="M10" s="228"/>
    </row>
    <row r="11" spans="1:13" s="101" customFormat="1" ht="19.5" customHeight="1" thickBot="1">
      <c r="A11" s="114">
        <v>3</v>
      </c>
      <c r="B11" s="312" t="s">
        <v>157</v>
      </c>
      <c r="C11" s="316"/>
      <c r="D11" s="118"/>
      <c r="E11" s="312" t="s">
        <v>158</v>
      </c>
      <c r="F11" s="313"/>
      <c r="G11" s="301" t="str">
        <f>VLOOKUP(B$1,Lookup!$A$33:$I$36,6,FALSE)</f>
        <v>lost</v>
      </c>
      <c r="H11" s="298"/>
      <c r="I11" s="119"/>
      <c r="J11" s="117"/>
      <c r="K11" s="238" t="s">
        <v>81</v>
      </c>
      <c r="L11" s="102">
        <f>IF(H11="y",1,IF(I11="y",2,0))</f>
        <v>0</v>
      </c>
      <c r="M11" s="228"/>
    </row>
    <row r="12" spans="7:13" ht="9.75" customHeight="1" thickBot="1">
      <c r="G12" s="241"/>
      <c r="K12" s="229"/>
      <c r="L12" s="226"/>
      <c r="M12" s="230"/>
    </row>
    <row r="13" spans="1:13" s="101" customFormat="1" ht="19.5" customHeight="1" thickBot="1">
      <c r="A13" s="306" t="s">
        <v>52</v>
      </c>
      <c r="B13" s="336"/>
      <c r="C13" s="111" t="str">
        <f>Master!$B$10</f>
        <v>Riverside Rhumba</v>
      </c>
      <c r="D13" s="112"/>
      <c r="E13" s="112"/>
      <c r="F13" s="113"/>
      <c r="G13" s="241"/>
      <c r="H13" s="103"/>
      <c r="I13" s="103"/>
      <c r="K13" s="231"/>
      <c r="L13" s="102"/>
      <c r="M13" s="228"/>
    </row>
    <row r="14" spans="1:13" s="101" customFormat="1" ht="19.5" customHeight="1">
      <c r="A14" s="114">
        <v>1</v>
      </c>
      <c r="B14" s="314" t="s">
        <v>159</v>
      </c>
      <c r="C14" s="315"/>
      <c r="D14" s="115"/>
      <c r="E14" s="314" t="s">
        <v>160</v>
      </c>
      <c r="F14" s="317"/>
      <c r="G14" s="299" t="str">
        <f>VLOOKUP(B$1,Lookup!$A$33:$I$36,7,FALSE)</f>
        <v>won</v>
      </c>
      <c r="H14" s="298"/>
      <c r="I14" s="119"/>
      <c r="J14" s="117"/>
      <c r="K14" s="231"/>
      <c r="L14" s="102">
        <f>IF(H14="y",1,IF(I14="y",2,0))</f>
        <v>0</v>
      </c>
      <c r="M14" s="228"/>
    </row>
    <row r="15" spans="1:13" s="101" customFormat="1" ht="19.5" customHeight="1">
      <c r="A15" s="114">
        <v>2</v>
      </c>
      <c r="B15" s="312" t="s">
        <v>216</v>
      </c>
      <c r="C15" s="316"/>
      <c r="D15" s="118"/>
      <c r="E15" s="312" t="s">
        <v>165</v>
      </c>
      <c r="F15" s="313"/>
      <c r="G15" s="300" t="str">
        <f>VLOOKUP(B$1,Lookup!$A$33:$I$36,8,FALSE)</f>
        <v>won</v>
      </c>
      <c r="H15" s="298"/>
      <c r="I15" s="119"/>
      <c r="J15" s="117"/>
      <c r="K15" s="231"/>
      <c r="L15" s="102">
        <f>IF(H15="y",1,IF(I15="y",2,0))</f>
        <v>0</v>
      </c>
      <c r="M15" s="228"/>
    </row>
    <row r="16" spans="1:13" s="101" customFormat="1" ht="19.5" customHeight="1" thickBot="1">
      <c r="A16" s="114">
        <v>3</v>
      </c>
      <c r="B16" s="312" t="s">
        <v>162</v>
      </c>
      <c r="C16" s="316"/>
      <c r="D16" s="118"/>
      <c r="E16" s="312" t="s">
        <v>163</v>
      </c>
      <c r="F16" s="313"/>
      <c r="G16" s="301" t="str">
        <f>VLOOKUP(B$1,Lookup!$A$33:$I$36,9,FALSE)</f>
        <v>lost</v>
      </c>
      <c r="H16" s="298"/>
      <c r="I16" s="119"/>
      <c r="J16" s="117"/>
      <c r="K16" s="231"/>
      <c r="L16" s="102">
        <f>IF(H16="y",1,IF(I16="y",2,0))</f>
        <v>0</v>
      </c>
      <c r="M16" s="228"/>
    </row>
    <row r="17" spans="1:13" ht="18">
      <c r="A17" s="123"/>
      <c r="B17" s="123"/>
      <c r="C17" s="123"/>
      <c r="D17" s="123"/>
      <c r="E17" s="123"/>
      <c r="F17" s="123"/>
      <c r="G17" s="123"/>
      <c r="H17" s="124"/>
      <c r="I17" s="124"/>
      <c r="K17" s="232" t="s">
        <v>83</v>
      </c>
      <c r="L17" s="227">
        <f>SUM(L10:L16)</f>
        <v>0</v>
      </c>
      <c r="M17" s="230"/>
    </row>
    <row r="18" spans="11:13" ht="15.75" thickBot="1">
      <c r="K18" s="229"/>
      <c r="L18" s="226"/>
      <c r="M18" s="230"/>
    </row>
    <row r="19" spans="1:13" s="101" customFormat="1" ht="19.5" customHeight="1" thickBot="1">
      <c r="A19" s="325" t="s">
        <v>53</v>
      </c>
      <c r="B19" s="326"/>
      <c r="C19" s="125" t="str">
        <f>Master!$B$15</f>
        <v>Ten Fox</v>
      </c>
      <c r="D19" s="126"/>
      <c r="E19" s="126"/>
      <c r="F19" s="113"/>
      <c r="H19" s="103"/>
      <c r="I19" s="103"/>
      <c r="K19" s="231"/>
      <c r="L19" s="102"/>
      <c r="M19" s="228"/>
    </row>
    <row r="20" spans="1:13" s="101" customFormat="1" ht="19.5" customHeight="1">
      <c r="A20" s="114">
        <v>4</v>
      </c>
      <c r="B20" s="314" t="s">
        <v>166</v>
      </c>
      <c r="C20" s="315"/>
      <c r="D20" s="115"/>
      <c r="E20" s="314" t="s">
        <v>160</v>
      </c>
      <c r="F20" s="317"/>
      <c r="G20" s="299" t="str">
        <f>VLOOKUP($B$1,Lookup!$A$41:$I$44,4,FALSE)</f>
        <v>lost</v>
      </c>
      <c r="H20" s="116"/>
      <c r="I20" s="116"/>
      <c r="J20" s="117"/>
      <c r="K20" s="231"/>
      <c r="L20" s="102"/>
      <c r="M20" s="228"/>
    </row>
    <row r="21" spans="1:13" s="101" customFormat="1" ht="19.5" customHeight="1">
      <c r="A21" s="114">
        <v>5</v>
      </c>
      <c r="B21" s="312" t="s">
        <v>215</v>
      </c>
      <c r="C21" s="316"/>
      <c r="D21" s="118"/>
      <c r="E21" s="312" t="s">
        <v>154</v>
      </c>
      <c r="F21" s="313"/>
      <c r="G21" s="300" t="str">
        <f>VLOOKUP($B$1,Lookup!$A$41:$I$44,5,FALSE)</f>
        <v>lost</v>
      </c>
      <c r="H21" s="298"/>
      <c r="I21" s="119"/>
      <c r="J21" s="117"/>
      <c r="K21" s="231"/>
      <c r="L21" s="102">
        <f>IF(H21="y",1,IF(I21="y",2,0))</f>
        <v>0</v>
      </c>
      <c r="M21" s="228"/>
    </row>
    <row r="22" spans="1:13" s="101" customFormat="1" ht="19.5" customHeight="1" thickBot="1">
      <c r="A22" s="114">
        <v>6</v>
      </c>
      <c r="B22" s="312" t="s">
        <v>164</v>
      </c>
      <c r="C22" s="316"/>
      <c r="D22" s="118"/>
      <c r="E22" s="312" t="s">
        <v>165</v>
      </c>
      <c r="F22" s="313"/>
      <c r="G22" s="301" t="str">
        <f>VLOOKUP($B$1,Lookup!$A$41:$I$44,6,FALSE)</f>
        <v>won</v>
      </c>
      <c r="H22" s="298"/>
      <c r="I22" s="119"/>
      <c r="J22" s="117"/>
      <c r="K22" s="231"/>
      <c r="L22" s="102">
        <f>IF(H22="y",1,IF(I22="y",2,0))</f>
        <v>0</v>
      </c>
      <c r="M22" s="228"/>
    </row>
    <row r="23" spans="7:13" ht="9.75" customHeight="1" thickBot="1">
      <c r="G23" s="241"/>
      <c r="K23" s="229"/>
      <c r="L23" s="226"/>
      <c r="M23" s="230"/>
    </row>
    <row r="24" spans="1:13" s="101" customFormat="1" ht="19.5" customHeight="1" thickBot="1">
      <c r="A24" s="325" t="s">
        <v>54</v>
      </c>
      <c r="B24" s="326"/>
      <c r="C24" s="125" t="str">
        <f>Master!$B$16</f>
        <v>14 Step</v>
      </c>
      <c r="D24" s="126"/>
      <c r="E24" s="126"/>
      <c r="F24" s="113"/>
      <c r="G24" s="241"/>
      <c r="H24" s="103"/>
      <c r="I24" s="103"/>
      <c r="K24" s="231"/>
      <c r="L24" s="102"/>
      <c r="M24" s="228"/>
    </row>
    <row r="25" spans="1:13" s="101" customFormat="1" ht="19.5" customHeight="1">
      <c r="A25" s="114">
        <v>7</v>
      </c>
      <c r="B25" s="314" t="s">
        <v>156</v>
      </c>
      <c r="C25" s="315"/>
      <c r="D25" s="115"/>
      <c r="E25" s="314" t="s">
        <v>161</v>
      </c>
      <c r="F25" s="317"/>
      <c r="G25" s="299" t="str">
        <f>VLOOKUP($B$1,Lookup!$A$41:$I$44,7,FALSE)</f>
        <v>lost</v>
      </c>
      <c r="H25" s="298"/>
      <c r="I25" s="119"/>
      <c r="J25" s="117"/>
      <c r="K25" s="231"/>
      <c r="L25" s="102">
        <f>IF(H25="y",1,IF(I25="y",2,0))</f>
        <v>0</v>
      </c>
      <c r="M25" s="228"/>
    </row>
    <row r="26" spans="1:13" s="101" customFormat="1" ht="19.5" customHeight="1">
      <c r="A26" s="114">
        <v>8</v>
      </c>
      <c r="B26" s="312" t="s">
        <v>157</v>
      </c>
      <c r="C26" s="316"/>
      <c r="D26" s="118"/>
      <c r="E26" s="312" t="s">
        <v>167</v>
      </c>
      <c r="F26" s="313"/>
      <c r="G26" s="300" t="str">
        <f>VLOOKUP($B$1,Lookup!$A$41:$I$44,8,FALSE)</f>
        <v>won</v>
      </c>
      <c r="H26" s="298"/>
      <c r="I26" s="119"/>
      <c r="J26" s="117"/>
      <c r="K26" s="231"/>
      <c r="L26" s="102">
        <f>IF(H26="y",1,IF(I26="y",2,0))</f>
        <v>0</v>
      </c>
      <c r="M26" s="228"/>
    </row>
    <row r="27" spans="1:13" s="101" customFormat="1" ht="19.5" customHeight="1" thickBot="1">
      <c r="A27" s="114">
        <v>9</v>
      </c>
      <c r="B27" s="312" t="s">
        <v>168</v>
      </c>
      <c r="C27" s="316"/>
      <c r="D27" s="118"/>
      <c r="E27" s="312" t="s">
        <v>169</v>
      </c>
      <c r="F27" s="313"/>
      <c r="G27" s="301" t="str">
        <f>VLOOKUP($B$1,Lookup!$A$41:$I$44,9,FALSE)</f>
        <v>lost</v>
      </c>
      <c r="H27" s="298"/>
      <c r="I27" s="119"/>
      <c r="J27" s="117"/>
      <c r="K27" s="231"/>
      <c r="L27" s="102">
        <f>IF(H27="y",1,IF(I27="y",2,0))</f>
        <v>0</v>
      </c>
      <c r="M27" s="228"/>
    </row>
    <row r="28" spans="1:13" ht="18">
      <c r="A28" s="123"/>
      <c r="B28" s="123"/>
      <c r="C28" s="123"/>
      <c r="D28" s="123"/>
      <c r="E28" s="123"/>
      <c r="F28" s="123"/>
      <c r="G28" s="123"/>
      <c r="H28" s="124"/>
      <c r="I28" s="124"/>
      <c r="K28" s="232" t="s">
        <v>83</v>
      </c>
      <c r="L28" s="227">
        <f>SUM(L21:L27)</f>
        <v>0</v>
      </c>
      <c r="M28" s="230"/>
    </row>
    <row r="29" spans="11:13" ht="15.75" thickBot="1">
      <c r="K29" s="229"/>
      <c r="L29" s="226"/>
      <c r="M29" s="230"/>
    </row>
    <row r="30" spans="1:13" s="101" customFormat="1" ht="19.5" customHeight="1" thickBot="1">
      <c r="A30" s="318" t="s">
        <v>55</v>
      </c>
      <c r="B30" s="319"/>
      <c r="C30" s="127" t="str">
        <f>Master!$B$21</f>
        <v>Blues</v>
      </c>
      <c r="D30" s="128"/>
      <c r="E30" s="128"/>
      <c r="F30" s="113"/>
      <c r="H30" s="103"/>
      <c r="I30" s="103"/>
      <c r="K30" s="231"/>
      <c r="L30" s="102"/>
      <c r="M30" s="228"/>
    </row>
    <row r="31" spans="1:13" s="101" customFormat="1" ht="19.5" customHeight="1">
      <c r="A31" s="114">
        <v>10</v>
      </c>
      <c r="B31" s="314" t="s">
        <v>166</v>
      </c>
      <c r="C31" s="315"/>
      <c r="D31" s="115"/>
      <c r="E31" s="314" t="s">
        <v>160</v>
      </c>
      <c r="F31" s="317"/>
      <c r="G31" s="299" t="str">
        <f>VLOOKUP($B$1,Lookup!$A$49:$I$52,4,FALSE)</f>
        <v>lost</v>
      </c>
      <c r="H31" s="116"/>
      <c r="I31" s="116"/>
      <c r="J31" s="117"/>
      <c r="K31" s="231"/>
      <c r="L31" s="102"/>
      <c r="M31" s="228"/>
    </row>
    <row r="32" spans="1:13" s="101" customFormat="1" ht="19.5" customHeight="1">
      <c r="A32" s="114">
        <v>11</v>
      </c>
      <c r="B32" s="312" t="s">
        <v>168</v>
      </c>
      <c r="C32" s="316"/>
      <c r="D32" s="118"/>
      <c r="E32" s="312" t="s">
        <v>165</v>
      </c>
      <c r="F32" s="313"/>
      <c r="G32" s="300" t="str">
        <f>VLOOKUP($B$1,Lookup!$A$49:$I$52,5,FALSE)</f>
        <v>won</v>
      </c>
      <c r="H32" s="298"/>
      <c r="I32" s="119"/>
      <c r="J32" s="117"/>
      <c r="K32" s="231"/>
      <c r="L32" s="102">
        <f>IF(H32="y",1,IF(I32="y",2,0))</f>
        <v>0</v>
      </c>
      <c r="M32" s="228"/>
    </row>
    <row r="33" spans="1:13" s="101" customFormat="1" ht="19.5" customHeight="1" thickBot="1">
      <c r="A33" s="114">
        <v>12</v>
      </c>
      <c r="B33" s="312" t="s">
        <v>215</v>
      </c>
      <c r="C33" s="316"/>
      <c r="D33" s="118"/>
      <c r="E33" s="312" t="s">
        <v>165</v>
      </c>
      <c r="F33" s="313"/>
      <c r="G33" s="301" t="str">
        <f>VLOOKUP($B$1,Lookup!$A$49:$I$52,6,FALSE)</f>
        <v>lost</v>
      </c>
      <c r="H33" s="298" t="s">
        <v>81</v>
      </c>
      <c r="I33" s="119"/>
      <c r="J33" s="117"/>
      <c r="K33" s="231"/>
      <c r="L33" s="102">
        <f>IF(H33="y",1,IF(I33="y",2,0))</f>
        <v>1</v>
      </c>
      <c r="M33" s="228"/>
    </row>
    <row r="34" spans="7:13" ht="9.75" customHeight="1" thickBot="1">
      <c r="G34" s="241"/>
      <c r="K34" s="229"/>
      <c r="L34" s="226"/>
      <c r="M34" s="230"/>
    </row>
    <row r="35" spans="1:13" s="101" customFormat="1" ht="19.5" customHeight="1" thickBot="1">
      <c r="A35" s="318" t="s">
        <v>56</v>
      </c>
      <c r="B35" s="319"/>
      <c r="C35" s="127" t="str">
        <f>Master!$B$22</f>
        <v>Westminster Waltz</v>
      </c>
      <c r="D35" s="128"/>
      <c r="E35" s="128"/>
      <c r="F35" s="113"/>
      <c r="G35" s="241"/>
      <c r="H35" s="103"/>
      <c r="I35" s="103"/>
      <c r="K35" s="231"/>
      <c r="L35" s="102"/>
      <c r="M35" s="228"/>
    </row>
    <row r="36" spans="1:13" s="101" customFormat="1" ht="19.5" customHeight="1">
      <c r="A36" s="114">
        <v>13</v>
      </c>
      <c r="B36" s="314" t="s">
        <v>170</v>
      </c>
      <c r="C36" s="315"/>
      <c r="D36" s="115"/>
      <c r="E36" s="314" t="s">
        <v>167</v>
      </c>
      <c r="F36" s="317"/>
      <c r="G36" s="299" t="str">
        <f>VLOOKUP($B$1,Lookup!$A$49:$I$52,7,FALSE)</f>
        <v>lost</v>
      </c>
      <c r="H36" s="298"/>
      <c r="I36" s="119"/>
      <c r="J36" s="117"/>
      <c r="K36" s="231"/>
      <c r="L36" s="102">
        <f>IF(H36="y",1,IF(I36="y",2,0))</f>
        <v>0</v>
      </c>
      <c r="M36" s="228"/>
    </row>
    <row r="37" spans="1:13" s="101" customFormat="1" ht="19.5" customHeight="1">
      <c r="A37" s="114">
        <v>14</v>
      </c>
      <c r="B37" s="328" t="s">
        <v>168</v>
      </c>
      <c r="C37" s="329"/>
      <c r="D37" s="118"/>
      <c r="E37" s="328" t="s">
        <v>165</v>
      </c>
      <c r="F37" s="337"/>
      <c r="G37" s="300" t="str">
        <f>VLOOKUP($B$1,Lookup!$A$49:$I$52,8,FALSE)</f>
        <v>lost</v>
      </c>
      <c r="H37" s="298"/>
      <c r="I37" s="119" t="s">
        <v>81</v>
      </c>
      <c r="J37" s="117"/>
      <c r="K37" s="231"/>
      <c r="L37" s="102">
        <f>IF(H37="y",1,IF(I37="y",2,0))</f>
        <v>2</v>
      </c>
      <c r="M37" s="228"/>
    </row>
    <row r="38" spans="1:13" s="101" customFormat="1" ht="19.5" customHeight="1" thickBot="1">
      <c r="A38" s="114">
        <v>15</v>
      </c>
      <c r="B38" s="312" t="s">
        <v>170</v>
      </c>
      <c r="C38" s="316"/>
      <c r="D38" s="118"/>
      <c r="E38" s="312" t="s">
        <v>167</v>
      </c>
      <c r="F38" s="313"/>
      <c r="G38" s="301" t="str">
        <f>VLOOKUP($B$1,Lookup!$A$49:$I$52,9,FALSE)</f>
        <v>lost</v>
      </c>
      <c r="H38" s="298"/>
      <c r="I38" s="119" t="s">
        <v>81</v>
      </c>
      <c r="J38" s="117"/>
      <c r="K38" s="231"/>
      <c r="L38" s="102">
        <f>IF(H38="y",1,IF(I38="y",2,0))</f>
        <v>2</v>
      </c>
      <c r="M38" s="228"/>
    </row>
    <row r="39" spans="11:13" ht="18.75" thickBot="1">
      <c r="K39" s="233" t="s">
        <v>83</v>
      </c>
      <c r="L39" s="234">
        <f>SUM(L32:L38)</f>
        <v>5</v>
      </c>
      <c r="M39" s="235"/>
    </row>
  </sheetData>
  <sheetProtection password="CAEF" sheet="1" objects="1" scenarios="1" selectLockedCells="1"/>
  <mergeCells count="48">
    <mergeCell ref="E31:F31"/>
    <mergeCell ref="E32:F32"/>
    <mergeCell ref="E33:F33"/>
    <mergeCell ref="E36:F36"/>
    <mergeCell ref="E37:F37"/>
    <mergeCell ref="E38:F38"/>
    <mergeCell ref="B36:C36"/>
    <mergeCell ref="B37:C37"/>
    <mergeCell ref="B38:C38"/>
    <mergeCell ref="E14:F14"/>
    <mergeCell ref="E15:F15"/>
    <mergeCell ref="E16:F16"/>
    <mergeCell ref="E20:F20"/>
    <mergeCell ref="E21:F21"/>
    <mergeCell ref="E22:F22"/>
    <mergeCell ref="E25:F25"/>
    <mergeCell ref="E9:F9"/>
    <mergeCell ref="E10:F10"/>
    <mergeCell ref="E11:F11"/>
    <mergeCell ref="A30:B30"/>
    <mergeCell ref="B14:C14"/>
    <mergeCell ref="B15:C15"/>
    <mergeCell ref="E26:F26"/>
    <mergeCell ref="E27:F27"/>
    <mergeCell ref="A35:B35"/>
    <mergeCell ref="A8:B8"/>
    <mergeCell ref="A13:B13"/>
    <mergeCell ref="A19:B19"/>
    <mergeCell ref="A24:B24"/>
    <mergeCell ref="B9:C9"/>
    <mergeCell ref="B27:C27"/>
    <mergeCell ref="B31:C31"/>
    <mergeCell ref="B32:C32"/>
    <mergeCell ref="B33:C33"/>
    <mergeCell ref="K7:M7"/>
    <mergeCell ref="G3:I3"/>
    <mergeCell ref="G4:I4"/>
    <mergeCell ref="B7:C7"/>
    <mergeCell ref="E7:F7"/>
    <mergeCell ref="B3:D3"/>
    <mergeCell ref="B10:C10"/>
    <mergeCell ref="B11:C11"/>
    <mergeCell ref="B25:C25"/>
    <mergeCell ref="B26:C26"/>
    <mergeCell ref="B16:C16"/>
    <mergeCell ref="B20:C20"/>
    <mergeCell ref="B21:C21"/>
    <mergeCell ref="B22:C22"/>
  </mergeCells>
  <conditionalFormatting sqref="G20:G27 G9:G16 G31:G38">
    <cfRule type="cellIs" priority="1" dxfId="22" operator="equal" stopIfTrue="1">
      <formula>"won"</formula>
    </cfRule>
    <cfRule type="cellIs" priority="2" dxfId="21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56"/>
  <sheetViews>
    <sheetView zoomScale="75" zoomScaleNormal="75" zoomScalePageLayoutView="0" workbookViewId="0" topLeftCell="A3">
      <selection activeCell="G11" sqref="G11"/>
    </sheetView>
  </sheetViews>
  <sheetFormatPr defaultColWidth="9.140625" defaultRowHeight="12.75"/>
  <cols>
    <col min="1" max="1" width="12.7109375" style="139" customWidth="1"/>
    <col min="2" max="2" width="4.8515625" style="139" customWidth="1"/>
    <col min="3" max="3" width="3.28125" style="139" customWidth="1"/>
    <col min="4" max="4" width="5.57421875" style="139" customWidth="1"/>
    <col min="5" max="5" width="12.7109375" style="139" customWidth="1"/>
    <col min="6" max="14" width="10.7109375" style="139" customWidth="1"/>
    <col min="15" max="16384" width="9.140625" style="139" customWidth="1"/>
  </cols>
  <sheetData>
    <row r="1" spans="1:7" ht="30" customHeight="1">
      <c r="A1" s="51" t="s">
        <v>21</v>
      </c>
      <c r="B1" s="52"/>
      <c r="C1" s="52"/>
      <c r="D1" s="52"/>
      <c r="E1" s="52"/>
      <c r="F1" s="52"/>
      <c r="G1" s="52"/>
    </row>
    <row r="2" spans="1:7" ht="30" customHeight="1">
      <c r="A2" s="51"/>
      <c r="B2" s="52"/>
      <c r="C2" s="52"/>
      <c r="D2" s="52"/>
      <c r="E2" s="52"/>
      <c r="F2" s="52"/>
      <c r="G2" s="52"/>
    </row>
    <row r="3" spans="1:14" s="143" customFormat="1" ht="30" customHeight="1">
      <c r="A3" s="141" t="s">
        <v>27</v>
      </c>
      <c r="B3" s="142" t="str">
        <f>IF(Master!B3="","",Master!B3)</f>
        <v>Streatham</v>
      </c>
      <c r="C3" s="142"/>
      <c r="K3" s="144" t="s">
        <v>1</v>
      </c>
      <c r="L3" s="283" t="str">
        <f>VLOOKUP(K3,Master!A26:B29,2,FALSE)</f>
        <v>South West</v>
      </c>
      <c r="M3" s="284"/>
      <c r="N3" s="284"/>
    </row>
    <row r="4" spans="1:14" s="143" customFormat="1" ht="30" customHeight="1">
      <c r="A4" s="141" t="s">
        <v>28</v>
      </c>
      <c r="B4" s="142" t="str">
        <f>IF(Master!B4="","",Master!B4)</f>
        <v>18th October 2014</v>
      </c>
      <c r="C4" s="142"/>
      <c r="F4" s="142"/>
      <c r="K4" s="144" t="s">
        <v>2</v>
      </c>
      <c r="L4" s="283" t="str">
        <f>VLOOKUP(K4,Master!A26:B29,2,FALSE)</f>
        <v>South East</v>
      </c>
      <c r="M4" s="284"/>
      <c r="N4" s="284"/>
    </row>
    <row r="5" spans="1:14" s="143" customFormat="1" ht="30" customHeight="1">
      <c r="A5" s="141"/>
      <c r="B5" s="142"/>
      <c r="C5" s="142"/>
      <c r="F5" s="142"/>
      <c r="K5" s="144" t="s">
        <v>3</v>
      </c>
      <c r="L5" s="283" t="str">
        <f>VLOOKUP(K5,Master!A26:B29,2,FALSE)</f>
        <v>North</v>
      </c>
      <c r="M5" s="284"/>
      <c r="N5" s="284"/>
    </row>
    <row r="6" spans="1:14" s="143" customFormat="1" ht="30" customHeight="1">
      <c r="A6" s="145" t="s">
        <v>87</v>
      </c>
      <c r="B6" s="144"/>
      <c r="K6" s="144" t="s">
        <v>4</v>
      </c>
      <c r="L6" s="283" t="str">
        <f>VLOOKUP(K6,Master!A26:B29,2,FALSE)</f>
        <v>South Central</v>
      </c>
      <c r="M6" s="284"/>
      <c r="N6" s="284"/>
    </row>
    <row r="7" ht="13.5" thickBot="1"/>
    <row r="8" spans="1:20" ht="30" customHeight="1">
      <c r="A8" s="348" t="str">
        <f>Master!$B$9</f>
        <v>Golden Skaters Waltz</v>
      </c>
      <c r="B8" s="349"/>
      <c r="C8" s="349"/>
      <c r="D8" s="349"/>
      <c r="E8" s="350"/>
      <c r="F8" s="340" t="s">
        <v>6</v>
      </c>
      <c r="G8" s="341"/>
      <c r="H8" s="341"/>
      <c r="I8" s="341"/>
      <c r="J8" s="342"/>
      <c r="K8" s="340" t="s">
        <v>7</v>
      </c>
      <c r="L8" s="341"/>
      <c r="M8" s="341"/>
      <c r="N8" s="342"/>
      <c r="P8" s="343" t="s">
        <v>10</v>
      </c>
      <c r="Q8" s="344"/>
      <c r="R8" s="344"/>
      <c r="S8" s="344"/>
      <c r="T8" s="344"/>
    </row>
    <row r="9" spans="1:20" s="130" customFormat="1" ht="30" customHeight="1">
      <c r="A9" s="345" t="s">
        <v>79</v>
      </c>
      <c r="B9" s="346"/>
      <c r="C9" s="346"/>
      <c r="D9" s="346"/>
      <c r="E9" s="347"/>
      <c r="F9" s="9">
        <v>1</v>
      </c>
      <c r="G9" s="7">
        <v>2</v>
      </c>
      <c r="H9" s="7">
        <v>3</v>
      </c>
      <c r="I9" s="7">
        <v>4</v>
      </c>
      <c r="J9" s="14">
        <v>5</v>
      </c>
      <c r="K9" s="7" t="s">
        <v>1</v>
      </c>
      <c r="L9" s="7" t="s">
        <v>2</v>
      </c>
      <c r="M9" s="7" t="s">
        <v>3</v>
      </c>
      <c r="N9" s="14" t="s">
        <v>4</v>
      </c>
      <c r="P9" s="12" t="s">
        <v>1</v>
      </c>
      <c r="Q9" s="12" t="s">
        <v>2</v>
      </c>
      <c r="R9" s="12" t="s">
        <v>3</v>
      </c>
      <c r="S9" s="12" t="s">
        <v>4</v>
      </c>
      <c r="T9" s="129" t="s">
        <v>11</v>
      </c>
    </row>
    <row r="10" spans="1:20" s="130" customFormat="1" ht="30" customHeight="1">
      <c r="A10" s="131"/>
      <c r="B10" s="155" t="s">
        <v>1</v>
      </c>
      <c r="C10" s="156" t="s">
        <v>9</v>
      </c>
      <c r="D10" s="157" t="s">
        <v>2</v>
      </c>
      <c r="E10" s="134"/>
      <c r="F10" s="6" t="s">
        <v>2</v>
      </c>
      <c r="G10" s="8" t="s">
        <v>2</v>
      </c>
      <c r="H10" s="8" t="s">
        <v>1</v>
      </c>
      <c r="I10" s="287" t="s">
        <v>106</v>
      </c>
      <c r="J10" s="134" t="s">
        <v>106</v>
      </c>
      <c r="K10" s="7">
        <f aca="true" t="shared" si="0" ref="K10:K15">IF(OR(F10="",G10="",H10="",I10="",J10=""),"",IF(OR($B10="A",$D10="A"),IF(P10=(Q10+R10+S10),4,IF(P10&gt;(Q10+R10+S10),6,2)),""))</f>
        <v>2</v>
      </c>
      <c r="L10" s="7">
        <f aca="true" t="shared" si="1" ref="L10:L15">IF(OR(F10="",G10="",H10="",I10="",J10=""),"",IF(OR($B10="B",$D10="B"),IF(Q10=(P10+R10+S10),4,IF(Q10&gt;(P10+R10+S10),6,2)),""))</f>
        <v>6</v>
      </c>
      <c r="M10" s="10">
        <f aca="true" t="shared" si="2" ref="M10:M15">IF(OR(F10="",G10="",H10="",I10="",J10=""),"",IF(OR($B10="C",$D10="C"),IF(R10=(P10+Q10+S10),4,IF(R10&gt;(P10+Q10+S10),6,2)),""))</f>
      </c>
      <c r="N10" s="11">
        <f aca="true" t="shared" si="3" ref="N10:N15">IF(OR(F10="",G10="",H10="",I10="",J10=""),"",IF(OR($B10="D",$D10="D"),IF(S10=(P10+Q10+R10),4,IF(S10&gt;(P10+Q10+R10),6,2)),""))</f>
      </c>
      <c r="P10" s="12">
        <f aca="true" t="shared" si="4" ref="P10:P15">IF($F10="A",1,0)+IF($G10="A",1,0)+IF($H10="A",1,0)+IF($I10="A",1,0)+IF($J10="A",1,0)</f>
        <v>1</v>
      </c>
      <c r="Q10" s="12">
        <f aca="true" t="shared" si="5" ref="Q10:Q15">IF($F10="B",1,0)+IF($G10="B",1,0)+IF($H10="B",1,0)+IF($I10="B",1,0)+IF($J10="B",1,0)</f>
        <v>2</v>
      </c>
      <c r="R10" s="12">
        <f aca="true" t="shared" si="6" ref="R10:R15">IF($F10="C",1,0)+IF($G10="C",1,0)+IF($H10="C",1,0)+IF($I10="C",1,0)+IF($J10="C",1,0)</f>
        <v>0</v>
      </c>
      <c r="S10" s="12">
        <f aca="true" t="shared" si="7" ref="S10:S15">IF($F10="D",1,0)+IF($G10="D",1,0)+IF($H10="D",1,0)+IF($I10="D",1,0)+IF($J10="D",1,0)</f>
        <v>0</v>
      </c>
      <c r="T10" s="12">
        <f aca="true" t="shared" si="8" ref="T10:T15">IF($F10="X",1,0)+IF($G10="X",1,0)+IF($H10="X",1,0)+IF($I10="X",1,0)+IF($J10="X",1,0)</f>
        <v>2</v>
      </c>
    </row>
    <row r="11" spans="1:20" s="130" customFormat="1" ht="30" customHeight="1">
      <c r="A11" s="131"/>
      <c r="B11" s="155" t="s">
        <v>4</v>
      </c>
      <c r="C11" s="156" t="s">
        <v>9</v>
      </c>
      <c r="D11" s="157" t="s">
        <v>3</v>
      </c>
      <c r="E11" s="134"/>
      <c r="F11" s="6" t="s">
        <v>4</v>
      </c>
      <c r="G11" s="8" t="s">
        <v>4</v>
      </c>
      <c r="H11" s="8" t="s">
        <v>4</v>
      </c>
      <c r="I11" s="287" t="s">
        <v>106</v>
      </c>
      <c r="J11" s="134" t="s">
        <v>106</v>
      </c>
      <c r="K11" s="10">
        <f t="shared" si="0"/>
      </c>
      <c r="L11" s="10">
        <f t="shared" si="1"/>
      </c>
      <c r="M11" s="7">
        <f t="shared" si="2"/>
        <v>2</v>
      </c>
      <c r="N11" s="14">
        <f t="shared" si="3"/>
        <v>6</v>
      </c>
      <c r="P11" s="12">
        <f t="shared" si="4"/>
        <v>0</v>
      </c>
      <c r="Q11" s="12">
        <f t="shared" si="5"/>
        <v>0</v>
      </c>
      <c r="R11" s="12">
        <f t="shared" si="6"/>
        <v>0</v>
      </c>
      <c r="S11" s="12">
        <f t="shared" si="7"/>
        <v>3</v>
      </c>
      <c r="T11" s="12">
        <f t="shared" si="8"/>
        <v>2</v>
      </c>
    </row>
    <row r="12" spans="1:20" s="130" customFormat="1" ht="30" customHeight="1">
      <c r="A12" s="221">
        <f>VLOOKUP(B12,Lookup!C$6:I$9,2,FALSE)</f>
      </c>
      <c r="B12" s="132" t="s">
        <v>2</v>
      </c>
      <c r="C12" s="147" t="s">
        <v>9</v>
      </c>
      <c r="D12" s="133" t="s">
        <v>3</v>
      </c>
      <c r="E12" s="220">
        <f>VLOOKUP(D12,Lookup!C$6:I$9,2,FALSE)</f>
      </c>
      <c r="F12" s="6" t="s">
        <v>2</v>
      </c>
      <c r="G12" s="8" t="s">
        <v>3</v>
      </c>
      <c r="H12" s="8" t="s">
        <v>3</v>
      </c>
      <c r="I12" s="287" t="s">
        <v>106</v>
      </c>
      <c r="J12" s="134" t="s">
        <v>106</v>
      </c>
      <c r="K12" s="10">
        <f t="shared" si="0"/>
      </c>
      <c r="L12" s="7">
        <f t="shared" si="1"/>
        <v>2</v>
      </c>
      <c r="M12" s="7">
        <f t="shared" si="2"/>
        <v>6</v>
      </c>
      <c r="N12" s="11">
        <f t="shared" si="3"/>
      </c>
      <c r="P12" s="12">
        <f t="shared" si="4"/>
        <v>0</v>
      </c>
      <c r="Q12" s="12">
        <f t="shared" si="5"/>
        <v>1</v>
      </c>
      <c r="R12" s="12">
        <f t="shared" si="6"/>
        <v>2</v>
      </c>
      <c r="S12" s="12">
        <f t="shared" si="7"/>
        <v>0</v>
      </c>
      <c r="T12" s="12">
        <f t="shared" si="8"/>
        <v>2</v>
      </c>
    </row>
    <row r="13" spans="1:20" s="130" customFormat="1" ht="30" customHeight="1">
      <c r="A13" s="221">
        <f>VLOOKUP(B13,Lookup!C$6:I$9,2,FALSE)</f>
      </c>
      <c r="B13" s="132" t="s">
        <v>1</v>
      </c>
      <c r="C13" s="147" t="s">
        <v>9</v>
      </c>
      <c r="D13" s="133" t="s">
        <v>4</v>
      </c>
      <c r="E13" s="220">
        <f>VLOOKUP(D13,Lookup!C$6:I$9,2,FALSE)</f>
      </c>
      <c r="F13" s="6" t="s">
        <v>1</v>
      </c>
      <c r="G13" s="8" t="s">
        <v>1</v>
      </c>
      <c r="H13" s="8" t="s">
        <v>1</v>
      </c>
      <c r="I13" s="287" t="s">
        <v>106</v>
      </c>
      <c r="J13" s="134" t="s">
        <v>106</v>
      </c>
      <c r="K13" s="7">
        <f t="shared" si="0"/>
        <v>6</v>
      </c>
      <c r="L13" s="10">
        <f t="shared" si="1"/>
      </c>
      <c r="M13" s="10">
        <f t="shared" si="2"/>
      </c>
      <c r="N13" s="14">
        <f t="shared" si="3"/>
        <v>2</v>
      </c>
      <c r="P13" s="12">
        <f t="shared" si="4"/>
        <v>3</v>
      </c>
      <c r="Q13" s="12">
        <f t="shared" si="5"/>
        <v>0</v>
      </c>
      <c r="R13" s="12">
        <f t="shared" si="6"/>
        <v>0</v>
      </c>
      <c r="S13" s="12">
        <f t="shared" si="7"/>
        <v>0</v>
      </c>
      <c r="T13" s="12">
        <f t="shared" si="8"/>
        <v>2</v>
      </c>
    </row>
    <row r="14" spans="1:20" s="130" customFormat="1" ht="30" customHeight="1">
      <c r="A14" s="221">
        <f>VLOOKUP(B14,Lookup!C$6:I$9,3,FALSE)</f>
      </c>
      <c r="B14" s="132" t="s">
        <v>4</v>
      </c>
      <c r="C14" s="147" t="s">
        <v>9</v>
      </c>
      <c r="D14" s="133" t="s">
        <v>2</v>
      </c>
      <c r="E14" s="220">
        <f>VLOOKUP(D14,Lookup!C$6:I$9,3,FALSE)</f>
      </c>
      <c r="F14" s="6" t="s">
        <v>2</v>
      </c>
      <c r="G14" s="8" t="s">
        <v>2</v>
      </c>
      <c r="H14" s="8" t="s">
        <v>2</v>
      </c>
      <c r="I14" s="287" t="s">
        <v>106</v>
      </c>
      <c r="J14" s="134" t="s">
        <v>106</v>
      </c>
      <c r="K14" s="10">
        <f t="shared" si="0"/>
      </c>
      <c r="L14" s="7">
        <f t="shared" si="1"/>
        <v>6</v>
      </c>
      <c r="M14" s="10">
        <f t="shared" si="2"/>
      </c>
      <c r="N14" s="14">
        <f t="shared" si="3"/>
        <v>2</v>
      </c>
      <c r="P14" s="12">
        <f t="shared" si="4"/>
        <v>0</v>
      </c>
      <c r="Q14" s="12">
        <f t="shared" si="5"/>
        <v>3</v>
      </c>
      <c r="R14" s="12">
        <f t="shared" si="6"/>
        <v>0</v>
      </c>
      <c r="S14" s="12">
        <f t="shared" si="7"/>
        <v>0</v>
      </c>
      <c r="T14" s="12">
        <f t="shared" si="8"/>
        <v>2</v>
      </c>
    </row>
    <row r="15" spans="1:20" s="130" customFormat="1" ht="30" customHeight="1" thickBot="1">
      <c r="A15" s="272">
        <f>VLOOKUP(B15,Lookup!C$6:I$9,3,FALSE)</f>
      </c>
      <c r="B15" s="135" t="s">
        <v>3</v>
      </c>
      <c r="C15" s="153" t="s">
        <v>9</v>
      </c>
      <c r="D15" s="136" t="s">
        <v>1</v>
      </c>
      <c r="E15" s="273">
        <f>VLOOKUP(D15,Lookup!C$6:I$9,3,FALSE)</f>
      </c>
      <c r="F15" s="137" t="s">
        <v>3</v>
      </c>
      <c r="G15" s="138" t="s">
        <v>3</v>
      </c>
      <c r="H15" s="138" t="s">
        <v>3</v>
      </c>
      <c r="I15" s="290" t="s">
        <v>106</v>
      </c>
      <c r="J15" s="291" t="s">
        <v>106</v>
      </c>
      <c r="K15" s="19">
        <f t="shared" si="0"/>
        <v>2</v>
      </c>
      <c r="L15" s="18">
        <f t="shared" si="1"/>
      </c>
      <c r="M15" s="19">
        <f t="shared" si="2"/>
        <v>6</v>
      </c>
      <c r="N15" s="20">
        <f t="shared" si="3"/>
      </c>
      <c r="P15" s="12">
        <f t="shared" si="4"/>
        <v>0</v>
      </c>
      <c r="Q15" s="12">
        <f t="shared" si="5"/>
        <v>0</v>
      </c>
      <c r="R15" s="12">
        <f t="shared" si="6"/>
        <v>3</v>
      </c>
      <c r="S15" s="12">
        <f t="shared" si="7"/>
        <v>0</v>
      </c>
      <c r="T15" s="12">
        <f t="shared" si="8"/>
        <v>2</v>
      </c>
    </row>
    <row r="16" spans="1:14" s="130" customFormat="1" ht="30" customHeight="1" thickBot="1">
      <c r="A16" s="351" t="s">
        <v>8</v>
      </c>
      <c r="B16" s="352"/>
      <c r="C16" s="352"/>
      <c r="D16" s="352"/>
      <c r="E16" s="352"/>
      <c r="F16" s="353"/>
      <c r="G16" s="353"/>
      <c r="H16" s="353"/>
      <c r="I16" s="353"/>
      <c r="J16" s="354"/>
      <c r="K16" s="21">
        <f>SUM(K10:K15)</f>
        <v>10</v>
      </c>
      <c r="L16" s="22">
        <f>SUM(L10:L15)</f>
        <v>14</v>
      </c>
      <c r="M16" s="22">
        <f>SUM(M10:M15)</f>
        <v>14</v>
      </c>
      <c r="N16" s="23">
        <f>SUM(N10:N15)</f>
        <v>10</v>
      </c>
    </row>
    <row r="18" ht="13.5" thickBot="1"/>
    <row r="19" spans="1:20" ht="30" customHeight="1">
      <c r="A19" s="348" t="str">
        <f>Master!$B$10</f>
        <v>Riverside Rhumba</v>
      </c>
      <c r="B19" s="349"/>
      <c r="C19" s="349"/>
      <c r="D19" s="349"/>
      <c r="E19" s="350"/>
      <c r="F19" s="340" t="s">
        <v>6</v>
      </c>
      <c r="G19" s="341"/>
      <c r="H19" s="341"/>
      <c r="I19" s="341"/>
      <c r="J19" s="342"/>
      <c r="K19" s="340" t="s">
        <v>7</v>
      </c>
      <c r="L19" s="341"/>
      <c r="M19" s="341"/>
      <c r="N19" s="342"/>
      <c r="P19" s="343" t="s">
        <v>10</v>
      </c>
      <c r="Q19" s="344"/>
      <c r="R19" s="344"/>
      <c r="S19" s="344"/>
      <c r="T19" s="344"/>
    </row>
    <row r="20" spans="1:20" ht="30" customHeight="1">
      <c r="A20" s="345" t="s">
        <v>79</v>
      </c>
      <c r="B20" s="346"/>
      <c r="C20" s="346"/>
      <c r="D20" s="346"/>
      <c r="E20" s="347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9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>
      <c r="A21" s="219">
        <f>VLOOKUP(B21,Lookup!C$6:I$9,4,FALSE)</f>
      </c>
      <c r="B21" s="132" t="s">
        <v>1</v>
      </c>
      <c r="C21" s="147" t="s">
        <v>9</v>
      </c>
      <c r="D21" s="133" t="s">
        <v>2</v>
      </c>
      <c r="E21" s="220">
        <f>VLOOKUP(D21,Lookup!C$6:I$9,4,FALSE)</f>
      </c>
      <c r="F21" s="6" t="s">
        <v>1</v>
      </c>
      <c r="G21" s="8" t="s">
        <v>1</v>
      </c>
      <c r="H21" s="8" t="s">
        <v>1</v>
      </c>
      <c r="I21" s="287" t="s">
        <v>106</v>
      </c>
      <c r="J21" s="134" t="s">
        <v>106</v>
      </c>
      <c r="K21" s="9">
        <f aca="true" t="shared" si="9" ref="K21:K26">IF(OR(F21="",G21="",H21="",I21="",J21=""),"",IF(OR($B21="A",$D21="A"),IF(P21=(Q21+R21+S21),4,IF(P21&gt;(Q21+R21+S21),6,2)),""))</f>
        <v>6</v>
      </c>
      <c r="L21" s="7">
        <f aca="true" t="shared" si="10" ref="L21:L26">IF(OR(F21="",G21="",H21="",I21="",J21=""),"",IF(OR($B21="B",$D21="B"),IF(Q21=(P21+R21+S21),4,IF(Q21&gt;(P21+R21+S21),6,2)),""))</f>
        <v>2</v>
      </c>
      <c r="M21" s="10">
        <f aca="true" t="shared" si="11" ref="M21:M26">IF(OR(F21="",G21="",H21="",I21="",J21=""),"",IF(OR($B21="C",$D21="C"),IF(R21=(P21+Q21+S21),4,IF(R21&gt;(P21+Q21+S21),6,2)),""))</f>
      </c>
      <c r="N21" s="11">
        <f aca="true" t="shared" si="12" ref="N21:N26">IF(OR(F21="",G21="",H21="",I21="",J21=""),"",IF(OR($B21="D",$D21="D"),IF(S21=(P21+Q21+R21),4,IF(S21&gt;(P21+Q21+R21),6,2)),""))</f>
      </c>
      <c r="P21" s="12">
        <f aca="true" t="shared" si="13" ref="P21:P26">IF($F21="A",1,0)+IF($G21="A",1,0)+IF($H21="A",1,0)+IF($I21="A",1,0)+IF($J21="A",1,0)</f>
        <v>3</v>
      </c>
      <c r="Q21" s="12">
        <f aca="true" t="shared" si="14" ref="Q21:Q26">IF($F21="B",1,0)+IF($G21="B",1,0)+IF($H21="B",1,0)+IF($I21="B",1,0)+IF($J21="B",1,0)</f>
        <v>0</v>
      </c>
      <c r="R21" s="12">
        <f aca="true" t="shared" si="15" ref="R21:R26">IF($F21="C",1,0)+IF($G21="C",1,0)+IF($H21="C",1,0)+IF($I21="C",1,0)+IF($J21="C",1,0)</f>
        <v>0</v>
      </c>
      <c r="S21" s="12">
        <f aca="true" t="shared" si="16" ref="S21:S26">IF($F21="D",1,0)+IF($G21="D",1,0)+IF($H21="D",1,0)+IF($I21="D",1,0)+IF($J21="D",1,0)</f>
        <v>0</v>
      </c>
      <c r="T21" s="12">
        <f aca="true" t="shared" si="17" ref="T21:T26">IF($F21="X",1,0)+IF($G21="X",1,0)+IF($H21="X",1,0)+IF($I21="X",1,0)+IF($J21="X",1,0)</f>
        <v>2</v>
      </c>
    </row>
    <row r="22" spans="1:20" ht="30" customHeight="1">
      <c r="A22" s="219">
        <f>VLOOKUP(B22,Lookup!C$6:I$9,4,FALSE)</f>
      </c>
      <c r="B22" s="132" t="s">
        <v>4</v>
      </c>
      <c r="C22" s="147" t="s">
        <v>9</v>
      </c>
      <c r="D22" s="133" t="s">
        <v>3</v>
      </c>
      <c r="E22" s="220">
        <f>VLOOKUP(D22,Lookup!C$6:I$9,4,FALSE)</f>
        <v>50</v>
      </c>
      <c r="F22" s="6" t="s">
        <v>4</v>
      </c>
      <c r="G22" s="8" t="s">
        <v>4</v>
      </c>
      <c r="H22" s="8" t="s">
        <v>11</v>
      </c>
      <c r="I22" s="287" t="s">
        <v>106</v>
      </c>
      <c r="J22" s="134" t="s">
        <v>106</v>
      </c>
      <c r="K22" s="13">
        <f t="shared" si="9"/>
      </c>
      <c r="L22" s="10">
        <f t="shared" si="10"/>
      </c>
      <c r="M22" s="7">
        <f t="shared" si="11"/>
        <v>2</v>
      </c>
      <c r="N22" s="14">
        <f t="shared" si="12"/>
        <v>6</v>
      </c>
      <c r="P22" s="12">
        <f t="shared" si="13"/>
        <v>0</v>
      </c>
      <c r="Q22" s="12">
        <f t="shared" si="14"/>
        <v>0</v>
      </c>
      <c r="R22" s="12">
        <f t="shared" si="15"/>
        <v>0</v>
      </c>
      <c r="S22" s="12">
        <f t="shared" si="16"/>
        <v>2</v>
      </c>
      <c r="T22" s="12">
        <f t="shared" si="17"/>
        <v>3</v>
      </c>
    </row>
    <row r="23" spans="1:20" ht="30" customHeight="1">
      <c r="A23" s="219">
        <f>VLOOKUP(B23,Lookup!C$6:I$9,5,FALSE)</f>
      </c>
      <c r="B23" s="132" t="s">
        <v>2</v>
      </c>
      <c r="C23" s="147" t="s">
        <v>9</v>
      </c>
      <c r="D23" s="133" t="s">
        <v>3</v>
      </c>
      <c r="E23" s="220">
        <f>VLOOKUP(D23,Lookup!C$6:I$9,5,FALSE)</f>
      </c>
      <c r="F23" s="6" t="s">
        <v>3</v>
      </c>
      <c r="G23" s="8" t="s">
        <v>3</v>
      </c>
      <c r="H23" s="8" t="s">
        <v>2</v>
      </c>
      <c r="I23" s="287" t="s">
        <v>106</v>
      </c>
      <c r="J23" s="134" t="s">
        <v>106</v>
      </c>
      <c r="K23" s="13">
        <f t="shared" si="9"/>
      </c>
      <c r="L23" s="7">
        <f t="shared" si="10"/>
        <v>2</v>
      </c>
      <c r="M23" s="7">
        <f t="shared" si="11"/>
        <v>6</v>
      </c>
      <c r="N23" s="11">
        <f t="shared" si="12"/>
      </c>
      <c r="P23" s="12">
        <f t="shared" si="13"/>
        <v>0</v>
      </c>
      <c r="Q23" s="12">
        <f t="shared" si="14"/>
        <v>1</v>
      </c>
      <c r="R23" s="12">
        <f t="shared" si="15"/>
        <v>2</v>
      </c>
      <c r="S23" s="12">
        <f t="shared" si="16"/>
        <v>0</v>
      </c>
      <c r="T23" s="12">
        <f t="shared" si="17"/>
        <v>2</v>
      </c>
    </row>
    <row r="24" spans="1:20" ht="30" customHeight="1">
      <c r="A24" s="219">
        <f>VLOOKUP(B24,Lookup!C$6:I$9,5,FALSE)</f>
      </c>
      <c r="B24" s="132" t="s">
        <v>1</v>
      </c>
      <c r="C24" s="147" t="s">
        <v>9</v>
      </c>
      <c r="D24" s="133" t="s">
        <v>4</v>
      </c>
      <c r="E24" s="220">
        <f>VLOOKUP(D24,Lookup!C$6:I$9,5,FALSE)</f>
      </c>
      <c r="F24" s="6" t="s">
        <v>1</v>
      </c>
      <c r="G24" s="8" t="s">
        <v>1</v>
      </c>
      <c r="H24" s="8" t="s">
        <v>1</v>
      </c>
      <c r="I24" s="287" t="s">
        <v>106</v>
      </c>
      <c r="J24" s="134" t="s">
        <v>106</v>
      </c>
      <c r="K24" s="9">
        <f t="shared" si="9"/>
        <v>6</v>
      </c>
      <c r="L24" s="10">
        <f t="shared" si="10"/>
      </c>
      <c r="M24" s="10">
        <f t="shared" si="11"/>
      </c>
      <c r="N24" s="14">
        <f t="shared" si="12"/>
        <v>2</v>
      </c>
      <c r="P24" s="12">
        <f t="shared" si="13"/>
        <v>3</v>
      </c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2</v>
      </c>
    </row>
    <row r="25" spans="1:20" ht="30" customHeight="1">
      <c r="A25" s="219">
        <f>VLOOKUP(B25,Lookup!C$6:I$9,6,FALSE)</f>
        <v>25</v>
      </c>
      <c r="B25" s="132" t="s">
        <v>4</v>
      </c>
      <c r="C25" s="147" t="s">
        <v>9</v>
      </c>
      <c r="D25" s="133" t="s">
        <v>2</v>
      </c>
      <c r="E25" s="220">
        <f>VLOOKUP(D25,Lookup!C$6:I$9,6,FALSE)</f>
      </c>
      <c r="F25" s="6" t="s">
        <v>4</v>
      </c>
      <c r="G25" s="8" t="s">
        <v>4</v>
      </c>
      <c r="H25" s="8" t="s">
        <v>4</v>
      </c>
      <c r="I25" s="287" t="s">
        <v>106</v>
      </c>
      <c r="J25" s="134" t="s">
        <v>106</v>
      </c>
      <c r="K25" s="13">
        <f t="shared" si="9"/>
      </c>
      <c r="L25" s="7">
        <f t="shared" si="10"/>
        <v>2</v>
      </c>
      <c r="M25" s="10">
        <f t="shared" si="11"/>
      </c>
      <c r="N25" s="14">
        <f t="shared" si="12"/>
        <v>6</v>
      </c>
      <c r="P25" s="12">
        <f t="shared" si="13"/>
        <v>0</v>
      </c>
      <c r="Q25" s="12">
        <f t="shared" si="14"/>
        <v>0</v>
      </c>
      <c r="R25" s="12">
        <f t="shared" si="15"/>
        <v>0</v>
      </c>
      <c r="S25" s="12">
        <f t="shared" si="16"/>
        <v>3</v>
      </c>
      <c r="T25" s="12">
        <f t="shared" si="17"/>
        <v>2</v>
      </c>
    </row>
    <row r="26" spans="1:20" ht="30" customHeight="1" thickBot="1">
      <c r="A26" s="219">
        <f>VLOOKUP(B26,Lookup!C$6:I$9,6,FALSE)</f>
        <v>25</v>
      </c>
      <c r="B26" s="135" t="s">
        <v>3</v>
      </c>
      <c r="C26" s="153" t="s">
        <v>9</v>
      </c>
      <c r="D26" s="136" t="s">
        <v>1</v>
      </c>
      <c r="E26" s="220">
        <f>VLOOKUP(D26,Lookup!C$6:I$9,6,FALSE)</f>
      </c>
      <c r="F26" s="15" t="s">
        <v>3</v>
      </c>
      <c r="G26" s="16" t="s">
        <v>3</v>
      </c>
      <c r="H26" s="16" t="s">
        <v>3</v>
      </c>
      <c r="I26" s="288" t="s">
        <v>106</v>
      </c>
      <c r="J26" s="289" t="s">
        <v>106</v>
      </c>
      <c r="K26" s="17">
        <f t="shared" si="9"/>
        <v>2</v>
      </c>
      <c r="L26" s="18">
        <f t="shared" si="10"/>
      </c>
      <c r="M26" s="19">
        <f t="shared" si="11"/>
        <v>6</v>
      </c>
      <c r="N26" s="20">
        <f t="shared" si="12"/>
      </c>
      <c r="P26" s="12">
        <f t="shared" si="13"/>
        <v>0</v>
      </c>
      <c r="Q26" s="12">
        <f t="shared" si="14"/>
        <v>0</v>
      </c>
      <c r="R26" s="12">
        <f t="shared" si="15"/>
        <v>3</v>
      </c>
      <c r="S26" s="12">
        <f t="shared" si="16"/>
        <v>0</v>
      </c>
      <c r="T26" s="12">
        <f t="shared" si="17"/>
        <v>2</v>
      </c>
    </row>
    <row r="27" spans="1:14" ht="30" customHeight="1" thickBot="1">
      <c r="A27" s="355" t="s">
        <v>8</v>
      </c>
      <c r="B27" s="356"/>
      <c r="C27" s="356"/>
      <c r="D27" s="356"/>
      <c r="E27" s="356"/>
      <c r="F27" s="356"/>
      <c r="G27" s="356"/>
      <c r="H27" s="356"/>
      <c r="I27" s="356"/>
      <c r="J27" s="357"/>
      <c r="K27" s="21">
        <f>SUM(K21:K26)</f>
        <v>14</v>
      </c>
      <c r="L27" s="22">
        <f>SUM(L21:L26)</f>
        <v>6</v>
      </c>
      <c r="M27" s="22">
        <f>SUM(M21:M26)</f>
        <v>14</v>
      </c>
      <c r="N27" s="23">
        <f>SUM(N21:N26)</f>
        <v>14</v>
      </c>
    </row>
    <row r="30" ht="13.5" thickBot="1"/>
    <row r="31" spans="1:14" ht="30" customHeight="1" thickBot="1">
      <c r="A31" s="363" t="s">
        <v>13</v>
      </c>
      <c r="B31" s="356"/>
      <c r="C31" s="356"/>
      <c r="D31" s="356"/>
      <c r="E31" s="356"/>
      <c r="F31" s="356"/>
      <c r="G31" s="356"/>
      <c r="H31" s="356"/>
      <c r="I31" s="356"/>
      <c r="J31" s="357"/>
      <c r="K31" s="21" t="s">
        <v>1</v>
      </c>
      <c r="L31" s="22" t="s">
        <v>2</v>
      </c>
      <c r="M31" s="22" t="s">
        <v>3</v>
      </c>
      <c r="N31" s="23" t="s">
        <v>4</v>
      </c>
    </row>
    <row r="32" spans="1:14" ht="30" customHeight="1">
      <c r="A32" s="358" t="s">
        <v>14</v>
      </c>
      <c r="B32" s="341"/>
      <c r="C32" s="341"/>
      <c r="D32" s="341"/>
      <c r="E32" s="341"/>
      <c r="F32" s="341"/>
      <c r="G32" s="341"/>
      <c r="H32" s="341"/>
      <c r="I32" s="341"/>
      <c r="J32" s="342"/>
      <c r="K32" s="24">
        <f>K16+K27</f>
        <v>24</v>
      </c>
      <c r="L32" s="25">
        <f>L16+L27</f>
        <v>20</v>
      </c>
      <c r="M32" s="25">
        <f>M16+M27</f>
        <v>28</v>
      </c>
      <c r="N32" s="26">
        <f>N16+N27</f>
        <v>24</v>
      </c>
    </row>
    <row r="33" spans="1:14" ht="30" customHeight="1">
      <c r="A33" s="359" t="s">
        <v>15</v>
      </c>
      <c r="B33" s="360"/>
      <c r="C33" s="360"/>
      <c r="D33" s="360"/>
      <c r="E33" s="360"/>
      <c r="F33" s="360"/>
      <c r="G33" s="360"/>
      <c r="H33" s="360"/>
      <c r="I33" s="360"/>
      <c r="J33" s="361"/>
      <c r="K33" s="239">
        <f>VLOOKUP(K31,Lookup!$C6:$I9,7,FALSE)</f>
        <v>12</v>
      </c>
      <c r="L33" s="274">
        <f>VLOOKUP(L31,Lookup!$C6:$I9,7,FALSE)</f>
        <v>12</v>
      </c>
      <c r="M33" s="274">
        <f>VLOOKUP(M31,Lookup!$C6:$I9,7,FALSE)</f>
        <v>9</v>
      </c>
      <c r="N33" s="275">
        <f>VLOOKUP(N31,Lookup!$C6:$I9,7,FALSE)</f>
        <v>11</v>
      </c>
    </row>
    <row r="34" spans="1:14" ht="30" customHeight="1">
      <c r="A34" s="359" t="s">
        <v>16</v>
      </c>
      <c r="B34" s="360"/>
      <c r="C34" s="360"/>
      <c r="D34" s="360"/>
      <c r="E34" s="360"/>
      <c r="F34" s="360"/>
      <c r="G34" s="360"/>
      <c r="H34" s="360"/>
      <c r="I34" s="360"/>
      <c r="J34" s="361"/>
      <c r="K34" s="27">
        <f>K56</f>
        <v>0</v>
      </c>
      <c r="L34" s="28">
        <f>L56</f>
        <v>0</v>
      </c>
      <c r="M34" s="28">
        <f>M56</f>
        <v>2.5</v>
      </c>
      <c r="N34" s="29">
        <f>N56</f>
        <v>1.5</v>
      </c>
    </row>
    <row r="35" spans="1:14" ht="30" customHeight="1">
      <c r="A35" s="359" t="s">
        <v>107</v>
      </c>
      <c r="B35" s="360"/>
      <c r="C35" s="360"/>
      <c r="D35" s="360"/>
      <c r="E35" s="360"/>
      <c r="F35" s="360"/>
      <c r="G35" s="360"/>
      <c r="H35" s="360"/>
      <c r="I35" s="360"/>
      <c r="J35" s="361"/>
      <c r="K35" s="302"/>
      <c r="L35" s="303"/>
      <c r="M35" s="303"/>
      <c r="N35" s="304"/>
    </row>
    <row r="36" spans="1:19" ht="30" customHeight="1" thickBot="1">
      <c r="A36" s="364" t="s">
        <v>118</v>
      </c>
      <c r="B36" s="365"/>
      <c r="C36" s="365"/>
      <c r="D36" s="365"/>
      <c r="E36" s="365"/>
      <c r="F36" s="365"/>
      <c r="G36" s="365"/>
      <c r="H36" s="365"/>
      <c r="I36" s="365"/>
      <c r="J36" s="366"/>
      <c r="K36" s="30">
        <f>K32+K33-K34+K35</f>
        <v>36</v>
      </c>
      <c r="L36" s="31">
        <f>L32+L33-L34+L35</f>
        <v>32</v>
      </c>
      <c r="M36" s="31">
        <f>M32+M33-M34+M35</f>
        <v>34.5</v>
      </c>
      <c r="N36" s="32">
        <f>N32+N33-N34+N35</f>
        <v>33.5</v>
      </c>
      <c r="P36" s="140"/>
      <c r="Q36" s="140"/>
      <c r="R36" s="140"/>
      <c r="S36" s="140"/>
    </row>
    <row r="37" spans="1:14" ht="30" customHeight="1" thickBot="1">
      <c r="A37" s="362" t="s">
        <v>12</v>
      </c>
      <c r="B37" s="356"/>
      <c r="C37" s="356"/>
      <c r="D37" s="356"/>
      <c r="E37" s="356"/>
      <c r="F37" s="356"/>
      <c r="G37" s="356"/>
      <c r="H37" s="356"/>
      <c r="I37" s="356"/>
      <c r="J37" s="357"/>
      <c r="K37" s="69">
        <f>IF(SUM($K36:$N36)&gt;0,RANK(K36,$K36:$N36,0),"")</f>
        <v>1</v>
      </c>
      <c r="L37" s="70">
        <f>IF(SUM($K36:$N36)&gt;0,RANK(L36,$K36:$N36,0),"")</f>
        <v>4</v>
      </c>
      <c r="M37" s="70">
        <f>IF(SUM($K36:$N36)&gt;0,RANK(M36,$K36:$N36,0),"")</f>
        <v>2</v>
      </c>
      <c r="N37" s="71">
        <f>IF(SUM($K36:$N36)&gt;0,RANK(N36,$K36:$N36,0),"")</f>
        <v>3</v>
      </c>
    </row>
    <row r="40" spans="1:14" ht="30" customHeight="1" thickBot="1">
      <c r="A40" s="367" t="s">
        <v>20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</row>
    <row r="41" spans="1:14" ht="30" customHeight="1">
      <c r="A41" s="374" t="str">
        <f>IF(A8="","",A8)</f>
        <v>Golden Skaters Waltz</v>
      </c>
      <c r="B41" s="341"/>
      <c r="C41" s="341"/>
      <c r="D41" s="341"/>
      <c r="E41" s="342"/>
      <c r="F41" s="373" t="s">
        <v>18</v>
      </c>
      <c r="G41" s="341"/>
      <c r="H41" s="341"/>
      <c r="I41" s="341"/>
      <c r="J41" s="369"/>
      <c r="K41" s="373" t="s">
        <v>19</v>
      </c>
      <c r="L41" s="341"/>
      <c r="M41" s="341"/>
      <c r="N41" s="342"/>
    </row>
    <row r="42" spans="1:14" ht="30" customHeight="1" thickBot="1">
      <c r="A42" s="345" t="s">
        <v>79</v>
      </c>
      <c r="B42" s="346"/>
      <c r="C42" s="346"/>
      <c r="D42" s="346"/>
      <c r="E42" s="347"/>
      <c r="F42" s="19" t="s">
        <v>1</v>
      </c>
      <c r="G42" s="19" t="s">
        <v>2</v>
      </c>
      <c r="H42" s="19" t="s">
        <v>3</v>
      </c>
      <c r="I42" s="170" t="s">
        <v>4</v>
      </c>
      <c r="J42" s="370"/>
      <c r="K42" s="19" t="s">
        <v>1</v>
      </c>
      <c r="L42" s="19" t="s">
        <v>2</v>
      </c>
      <c r="M42" s="19" t="s">
        <v>3</v>
      </c>
      <c r="N42" s="146" t="s">
        <v>4</v>
      </c>
    </row>
    <row r="43" spans="1:14" ht="30" customHeight="1">
      <c r="A43" s="42">
        <f aca="true" t="shared" si="18" ref="A43:A48">IF(A10="","",A10)</f>
      </c>
      <c r="B43" s="132" t="s">
        <v>1</v>
      </c>
      <c r="C43" s="147" t="s">
        <v>9</v>
      </c>
      <c r="D43" s="133" t="s">
        <v>2</v>
      </c>
      <c r="E43" s="151">
        <f aca="true" t="shared" si="19" ref="E43:E48">IF(E10="","",E10)</f>
      </c>
      <c r="F43" s="148">
        <f aca="true" t="shared" si="20" ref="F43:F48">IF(OR(AND($A43&lt;&gt;"",$B43="A"),AND($D43="A",$E43&lt;&gt;"")),K10,"")</f>
      </c>
      <c r="G43" s="34">
        <f aca="true" t="shared" si="21" ref="G43:G48">IF(OR(AND($A43&lt;&gt;"",$B43="B"),AND($D43="B",$E43&lt;&gt;"")),L10,"")</f>
      </c>
      <c r="H43" s="34">
        <f aca="true" t="shared" si="22" ref="H43:H48">IF(OR(AND($A43&lt;&gt;"",$B43="C"),AND($D43="C",$E43&lt;&gt;"")),M10,"")</f>
      </c>
      <c r="I43" s="171">
        <f aca="true" t="shared" si="23" ref="I43:I48">IF(OR(AND($A43&lt;&gt;"",$B43="D"),AND($D43="D",$E43&lt;&gt;"")),N10,"")</f>
      </c>
      <c r="J43" s="370"/>
      <c r="K43" s="174">
        <f aca="true" t="shared" si="24" ref="K43:K48">IF(F43&lt;&gt;"",F43*IF($B43="A",$A43/100,1)*IF($D43="A",$E43/100,1),"")</f>
      </c>
      <c r="L43" s="35">
        <f aca="true" t="shared" si="25" ref="L43:L48">IF(G43&lt;&gt;"",G43*IF($B43="B",$A43/100,1)*IF($D43="B",$E43/100,1),"")</f>
      </c>
      <c r="M43" s="35">
        <f aca="true" t="shared" si="26" ref="M43:M48">IF(H43&lt;&gt;"",H43*IF($B43="C",$A43/100,1)*IF($D43="C",$E43/100,1),"")</f>
      </c>
      <c r="N43" s="36">
        <f aca="true" t="shared" si="27" ref="N43:N48">IF(I43&lt;&gt;"",I43*IF($B43="D",$A43/100,1)*IF($D43="D",$E43/100,1),"")</f>
      </c>
    </row>
    <row r="44" spans="1:14" ht="30" customHeight="1">
      <c r="A44" s="37">
        <f t="shared" si="18"/>
      </c>
      <c r="B44" s="132" t="s">
        <v>4</v>
      </c>
      <c r="C44" s="147" t="s">
        <v>9</v>
      </c>
      <c r="D44" s="133" t="s">
        <v>3</v>
      </c>
      <c r="E44" s="152">
        <f t="shared" si="19"/>
      </c>
      <c r="F44" s="149">
        <f t="shared" si="20"/>
      </c>
      <c r="G44" s="38">
        <f t="shared" si="21"/>
      </c>
      <c r="H44" s="38">
        <f t="shared" si="22"/>
      </c>
      <c r="I44" s="172">
        <f t="shared" si="23"/>
      </c>
      <c r="J44" s="370"/>
      <c r="K44" s="28">
        <f t="shared" si="24"/>
      </c>
      <c r="L44" s="39">
        <f t="shared" si="25"/>
      </c>
      <c r="M44" s="39">
        <f t="shared" si="26"/>
      </c>
      <c r="N44" s="40">
        <f t="shared" si="27"/>
      </c>
    </row>
    <row r="45" spans="1:14" ht="30" customHeight="1">
      <c r="A45" s="37">
        <f t="shared" si="18"/>
      </c>
      <c r="B45" s="132" t="s">
        <v>2</v>
      </c>
      <c r="C45" s="147" t="s">
        <v>9</v>
      </c>
      <c r="D45" s="133" t="s">
        <v>3</v>
      </c>
      <c r="E45" s="152">
        <f t="shared" si="19"/>
      </c>
      <c r="F45" s="149">
        <f t="shared" si="20"/>
      </c>
      <c r="G45" s="38">
        <f t="shared" si="21"/>
      </c>
      <c r="H45" s="38">
        <f t="shared" si="22"/>
      </c>
      <c r="I45" s="172">
        <f t="shared" si="23"/>
      </c>
      <c r="J45" s="370"/>
      <c r="K45" s="28">
        <f t="shared" si="24"/>
      </c>
      <c r="L45" s="39">
        <f t="shared" si="25"/>
      </c>
      <c r="M45" s="39">
        <f t="shared" si="26"/>
      </c>
      <c r="N45" s="40">
        <f t="shared" si="27"/>
      </c>
    </row>
    <row r="46" spans="1:14" ht="30" customHeight="1">
      <c r="A46" s="37">
        <f t="shared" si="18"/>
      </c>
      <c r="B46" s="132" t="s">
        <v>1</v>
      </c>
      <c r="C46" s="147" t="s">
        <v>9</v>
      </c>
      <c r="D46" s="133" t="s">
        <v>4</v>
      </c>
      <c r="E46" s="152">
        <f t="shared" si="19"/>
      </c>
      <c r="F46" s="149">
        <f t="shared" si="20"/>
      </c>
      <c r="G46" s="38">
        <f t="shared" si="21"/>
      </c>
      <c r="H46" s="38">
        <f t="shared" si="22"/>
      </c>
      <c r="I46" s="172">
        <f t="shared" si="23"/>
      </c>
      <c r="J46" s="370"/>
      <c r="K46" s="28">
        <f t="shared" si="24"/>
      </c>
      <c r="L46" s="39">
        <f t="shared" si="25"/>
      </c>
      <c r="M46" s="39">
        <f t="shared" si="26"/>
      </c>
      <c r="N46" s="40">
        <f t="shared" si="27"/>
      </c>
    </row>
    <row r="47" spans="1:14" ht="30" customHeight="1">
      <c r="A47" s="37">
        <f t="shared" si="18"/>
      </c>
      <c r="B47" s="132" t="s">
        <v>4</v>
      </c>
      <c r="C47" s="147" t="s">
        <v>9</v>
      </c>
      <c r="D47" s="133" t="s">
        <v>2</v>
      </c>
      <c r="E47" s="152">
        <f t="shared" si="19"/>
      </c>
      <c r="F47" s="149">
        <f t="shared" si="20"/>
      </c>
      <c r="G47" s="38">
        <f t="shared" si="21"/>
      </c>
      <c r="H47" s="38">
        <f t="shared" si="22"/>
      </c>
      <c r="I47" s="172">
        <f t="shared" si="23"/>
      </c>
      <c r="J47" s="370"/>
      <c r="K47" s="28">
        <f t="shared" si="24"/>
      </c>
      <c r="L47" s="39">
        <f t="shared" si="25"/>
      </c>
      <c r="M47" s="39">
        <f t="shared" si="26"/>
      </c>
      <c r="N47" s="40">
        <f t="shared" si="27"/>
      </c>
    </row>
    <row r="48" spans="1:14" ht="30" customHeight="1" thickBot="1">
      <c r="A48" s="46">
        <f t="shared" si="18"/>
      </c>
      <c r="B48" s="135" t="s">
        <v>3</v>
      </c>
      <c r="C48" s="153" t="s">
        <v>9</v>
      </c>
      <c r="D48" s="136" t="s">
        <v>1</v>
      </c>
      <c r="E48" s="154">
        <f t="shared" si="19"/>
      </c>
      <c r="F48" s="150">
        <f t="shared" si="20"/>
      </c>
      <c r="G48" s="41">
        <f t="shared" si="21"/>
      </c>
      <c r="H48" s="41">
        <f t="shared" si="22"/>
      </c>
      <c r="I48" s="173">
        <f t="shared" si="23"/>
      </c>
      <c r="J48" s="371"/>
      <c r="K48" s="175">
        <f t="shared" si="24"/>
      </c>
      <c r="L48" s="31">
        <f t="shared" si="25"/>
      </c>
      <c r="M48" s="31">
        <f t="shared" si="26"/>
      </c>
      <c r="N48" s="32">
        <f t="shared" si="27"/>
      </c>
    </row>
    <row r="49" spans="1:14" ht="30" customHeight="1" thickBot="1">
      <c r="A49" s="368" t="str">
        <f>IF(A19="","",A19)</f>
        <v>Riverside Rhumba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</row>
    <row r="50" spans="1:14" ht="30" customHeight="1">
      <c r="A50" s="33">
        <f aca="true" t="shared" si="28" ref="A50:A55">IF(A21="","",A21)</f>
      </c>
      <c r="B50" s="185" t="s">
        <v>1</v>
      </c>
      <c r="C50" s="186" t="s">
        <v>9</v>
      </c>
      <c r="D50" s="187" t="s">
        <v>2</v>
      </c>
      <c r="E50" s="184">
        <f aca="true" t="shared" si="29" ref="E50:E55">IF(E21="","",E21)</f>
      </c>
      <c r="F50" s="179">
        <f aca="true" t="shared" si="30" ref="F50:F55">IF(OR(AND($A50&lt;&gt;"",$B50="A"),AND($D50="A",$E50&lt;&gt;"")),K21,"")</f>
      </c>
      <c r="G50" s="43">
        <f aca="true" t="shared" si="31" ref="G50:G55">IF(OR(AND($A50&lt;&gt;"",$B50="B"),AND($D50="B",$E50&lt;&gt;"")),L21,"")</f>
      </c>
      <c r="H50" s="43">
        <f aca="true" t="shared" si="32" ref="H50:H55">IF(OR(AND($A50&lt;&gt;"",$B50="C"),AND($D50="C",$E50&lt;&gt;"")),M21,"")</f>
      </c>
      <c r="I50" s="176">
        <f aca="true" t="shared" si="33" ref="I50:I55">IF(OR(AND($A50&lt;&gt;"",$B50="D"),AND($D50="D",$E50&lt;&gt;"")),N21,"")</f>
      </c>
      <c r="J50" s="372"/>
      <c r="K50" s="178">
        <f aca="true" t="shared" si="34" ref="K50:K55">IF(F50&lt;&gt;"",F50*IF($B50="A",$A50/100,1)*IF($D50="A",$E50/100,1),"")</f>
      </c>
      <c r="L50" s="44">
        <f aca="true" t="shared" si="35" ref="L50:L55">IF(G50&lt;&gt;"",G50*IF($B50="B",$A50/100,1)*IF($D50="B",$E50/100,1),"")</f>
      </c>
      <c r="M50" s="44">
        <f aca="true" t="shared" si="36" ref="M50:M55">IF(H50&lt;&gt;"",H50*IF($B50="C",$A50/100,1)*IF($D50="C",$E50/100,1),"")</f>
      </c>
      <c r="N50" s="45">
        <f aca="true" t="shared" si="37" ref="N50:N55">IF(I50&lt;&gt;"",I50*IF($B50="D",$A50/100,1)*IF($D50="D",$E50/100,1),"")</f>
      </c>
    </row>
    <row r="51" spans="1:14" ht="30" customHeight="1">
      <c r="A51" s="37">
        <f t="shared" si="28"/>
      </c>
      <c r="B51" s="132" t="s">
        <v>4</v>
      </c>
      <c r="C51" s="147" t="s">
        <v>9</v>
      </c>
      <c r="D51" s="133" t="s">
        <v>3</v>
      </c>
      <c r="E51" s="152">
        <f t="shared" si="29"/>
        <v>50</v>
      </c>
      <c r="F51" s="149">
        <f t="shared" si="30"/>
      </c>
      <c r="G51" s="38">
        <f t="shared" si="31"/>
      </c>
      <c r="H51" s="38">
        <f t="shared" si="32"/>
        <v>2</v>
      </c>
      <c r="I51" s="172">
        <f t="shared" si="33"/>
      </c>
      <c r="J51" s="370"/>
      <c r="K51" s="28">
        <f t="shared" si="34"/>
      </c>
      <c r="L51" s="39">
        <f t="shared" si="35"/>
      </c>
      <c r="M51" s="39">
        <f t="shared" si="36"/>
        <v>1</v>
      </c>
      <c r="N51" s="40">
        <f t="shared" si="37"/>
      </c>
    </row>
    <row r="52" spans="1:14" ht="30" customHeight="1">
      <c r="A52" s="37">
        <f t="shared" si="28"/>
      </c>
      <c r="B52" s="132" t="s">
        <v>2</v>
      </c>
      <c r="C52" s="147" t="s">
        <v>9</v>
      </c>
      <c r="D52" s="133" t="s">
        <v>3</v>
      </c>
      <c r="E52" s="152">
        <f t="shared" si="29"/>
      </c>
      <c r="F52" s="149">
        <f t="shared" si="30"/>
      </c>
      <c r="G52" s="38">
        <f t="shared" si="31"/>
      </c>
      <c r="H52" s="38">
        <f t="shared" si="32"/>
      </c>
      <c r="I52" s="172">
        <f t="shared" si="33"/>
      </c>
      <c r="J52" s="370"/>
      <c r="K52" s="28">
        <f t="shared" si="34"/>
      </c>
      <c r="L52" s="39">
        <f t="shared" si="35"/>
      </c>
      <c r="M52" s="39">
        <f t="shared" si="36"/>
      </c>
      <c r="N52" s="40">
        <f t="shared" si="37"/>
      </c>
    </row>
    <row r="53" spans="1:14" ht="30" customHeight="1">
      <c r="A53" s="37">
        <f t="shared" si="28"/>
      </c>
      <c r="B53" s="132" t="s">
        <v>1</v>
      </c>
      <c r="C53" s="147" t="s">
        <v>9</v>
      </c>
      <c r="D53" s="133" t="s">
        <v>4</v>
      </c>
      <c r="E53" s="152">
        <f t="shared" si="29"/>
      </c>
      <c r="F53" s="149">
        <f t="shared" si="30"/>
      </c>
      <c r="G53" s="38">
        <f t="shared" si="31"/>
      </c>
      <c r="H53" s="38">
        <f t="shared" si="32"/>
      </c>
      <c r="I53" s="172">
        <f t="shared" si="33"/>
      </c>
      <c r="J53" s="370"/>
      <c r="K53" s="28">
        <f t="shared" si="34"/>
      </c>
      <c r="L53" s="39">
        <f t="shared" si="35"/>
      </c>
      <c r="M53" s="39">
        <f t="shared" si="36"/>
      </c>
      <c r="N53" s="40">
        <f t="shared" si="37"/>
      </c>
    </row>
    <row r="54" spans="1:14" ht="30" customHeight="1">
      <c r="A54" s="37">
        <f t="shared" si="28"/>
        <v>25</v>
      </c>
      <c r="B54" s="132" t="s">
        <v>4</v>
      </c>
      <c r="C54" s="147" t="s">
        <v>9</v>
      </c>
      <c r="D54" s="133" t="s">
        <v>2</v>
      </c>
      <c r="E54" s="152">
        <f t="shared" si="29"/>
      </c>
      <c r="F54" s="149">
        <f t="shared" si="30"/>
      </c>
      <c r="G54" s="38">
        <f t="shared" si="31"/>
      </c>
      <c r="H54" s="38">
        <f t="shared" si="32"/>
      </c>
      <c r="I54" s="172">
        <f t="shared" si="33"/>
        <v>6</v>
      </c>
      <c r="J54" s="370"/>
      <c r="K54" s="28">
        <f t="shared" si="34"/>
      </c>
      <c r="L54" s="39">
        <f t="shared" si="35"/>
      </c>
      <c r="M54" s="39">
        <f t="shared" si="36"/>
      </c>
      <c r="N54" s="40">
        <f t="shared" si="37"/>
        <v>1.5</v>
      </c>
    </row>
    <row r="55" spans="1:14" ht="30" customHeight="1" thickBot="1">
      <c r="A55" s="46">
        <f t="shared" si="28"/>
        <v>25</v>
      </c>
      <c r="B55" s="135" t="s">
        <v>3</v>
      </c>
      <c r="C55" s="153" t="s">
        <v>9</v>
      </c>
      <c r="D55" s="136" t="s">
        <v>1</v>
      </c>
      <c r="E55" s="154">
        <f t="shared" si="29"/>
      </c>
      <c r="F55" s="180">
        <f t="shared" si="30"/>
      </c>
      <c r="G55" s="47">
        <f t="shared" si="31"/>
      </c>
      <c r="H55" s="47">
        <f t="shared" si="32"/>
        <v>6</v>
      </c>
      <c r="I55" s="177">
        <f t="shared" si="33"/>
      </c>
      <c r="J55" s="371"/>
      <c r="K55" s="175">
        <f t="shared" si="34"/>
      </c>
      <c r="L55" s="31">
        <f t="shared" si="35"/>
      </c>
      <c r="M55" s="31">
        <f t="shared" si="36"/>
        <v>1.5</v>
      </c>
      <c r="N55" s="32">
        <f t="shared" si="37"/>
      </c>
    </row>
    <row r="56" spans="1:14" ht="30" customHeight="1" thickBot="1">
      <c r="A56" s="362" t="s">
        <v>16</v>
      </c>
      <c r="B56" s="356"/>
      <c r="C56" s="356"/>
      <c r="D56" s="356"/>
      <c r="E56" s="356"/>
      <c r="F56" s="356"/>
      <c r="G56" s="356"/>
      <c r="H56" s="356"/>
      <c r="I56" s="356"/>
      <c r="J56" s="357"/>
      <c r="K56" s="48">
        <f>SUM(K43:K55)</f>
        <v>0</v>
      </c>
      <c r="L56" s="49">
        <f>SUM(L43:L55)</f>
        <v>0</v>
      </c>
      <c r="M56" s="49">
        <f>SUM(M43:M55)</f>
        <v>2.5</v>
      </c>
      <c r="N56" s="50">
        <f>SUM(N43:N55)</f>
        <v>1.5</v>
      </c>
    </row>
  </sheetData>
  <sheetProtection password="CAEF" sheet="1" objects="1" scenarios="1" selectLockedCells="1"/>
  <mergeCells count="28"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  <mergeCell ref="A37:J37"/>
    <mergeCell ref="A31:J31"/>
    <mergeCell ref="A33:J33"/>
    <mergeCell ref="A36:J36"/>
    <mergeCell ref="F19:J19"/>
    <mergeCell ref="A27:J27"/>
    <mergeCell ref="A32:J32"/>
    <mergeCell ref="A35:J35"/>
    <mergeCell ref="A34:J34"/>
    <mergeCell ref="K19:N19"/>
    <mergeCell ref="K8:N8"/>
    <mergeCell ref="P19:T19"/>
    <mergeCell ref="A20:E20"/>
    <mergeCell ref="F8:J8"/>
    <mergeCell ref="A8:E8"/>
    <mergeCell ref="A9:E9"/>
    <mergeCell ref="P8:T8"/>
    <mergeCell ref="A16:J16"/>
    <mergeCell ref="A19:E19"/>
  </mergeCells>
  <conditionalFormatting sqref="F10:J15 F21:J26">
    <cfRule type="expression" priority="1" dxfId="6" stopIfTrue="1">
      <formula>AND(NOT(F10=""),NOT(F10=$B10),NOT(F10=$D10),NOT(F10="X"))</formula>
    </cfRule>
  </conditionalFormatting>
  <conditionalFormatting sqref="A21:A26 A10:A15 E10:E15 E21:E26">
    <cfRule type="expression" priority="2" dxfId="6" stopIfTrue="1">
      <formula>AND(NOT(A10=""),NOT(A10=25),NOT(A10=50))</formula>
    </cfRule>
  </conditionalFormatting>
  <conditionalFormatting sqref="K33:N33">
    <cfRule type="expression" priority="3" dxfId="6" stopIfTrue="1">
      <formula>AND(K33&lt;&gt;"",OR(K33&lt;2,K33&gt;18))</formula>
    </cfRule>
  </conditionalFormatting>
  <conditionalFormatting sqref="K37:N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53" right="0.47" top="1" bottom="1" header="0.5" footer="0.5"/>
  <pageSetup fitToHeight="1" fitToWidth="1" horizontalDpi="600" verticalDpi="600" orientation="portrait" paperSize="9" scale="69" r:id="rId1"/>
  <headerFooter alignWithMargins="0">
    <oddHeader>&amp;L&amp;"Arial,Bold"&amp;26RIDL Final</oddHeader>
  </headerFooter>
  <ignoredErrors>
    <ignoredError sqref="A1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56"/>
  <sheetViews>
    <sheetView zoomScale="75" zoomScaleNormal="75" zoomScalePageLayoutView="0" workbookViewId="0" topLeftCell="A8">
      <selection activeCell="F11" sqref="F11"/>
    </sheetView>
  </sheetViews>
  <sheetFormatPr defaultColWidth="9.140625" defaultRowHeight="12.75"/>
  <cols>
    <col min="1" max="1" width="12.7109375" style="3" customWidth="1"/>
    <col min="2" max="2" width="4.8515625" style="3" customWidth="1"/>
    <col min="3" max="3" width="3.28125" style="3" customWidth="1"/>
    <col min="4" max="4" width="5.57421875" style="3" customWidth="1"/>
    <col min="5" max="5" width="12.7109375" style="3" customWidth="1"/>
    <col min="6" max="14" width="10.7109375" style="3" customWidth="1"/>
    <col min="15" max="16384" width="9.140625" style="3" customWidth="1"/>
  </cols>
  <sheetData>
    <row r="1" ht="30" customHeight="1">
      <c r="A1" s="158" t="s">
        <v>22</v>
      </c>
    </row>
    <row r="2" spans="1:7" s="139" customFormat="1" ht="30" customHeight="1">
      <c r="A2" s="51"/>
      <c r="B2" s="52"/>
      <c r="C2" s="52"/>
      <c r="D2" s="52"/>
      <c r="E2" s="52"/>
      <c r="F2" s="52"/>
      <c r="G2" s="52"/>
    </row>
    <row r="3" spans="1:14" s="143" customFormat="1" ht="30" customHeight="1">
      <c r="A3" s="141" t="s">
        <v>27</v>
      </c>
      <c r="B3" s="142" t="str">
        <f>IF(Master!B3="","",Master!B3)</f>
        <v>Streatham</v>
      </c>
      <c r="C3" s="142"/>
      <c r="K3" s="144" t="s">
        <v>1</v>
      </c>
      <c r="L3" s="283" t="str">
        <f>VLOOKUP(K3,Master!A26:B29,2,FALSE)</f>
        <v>South West</v>
      </c>
      <c r="M3" s="284"/>
      <c r="N3" s="284"/>
    </row>
    <row r="4" spans="1:14" s="143" customFormat="1" ht="30" customHeight="1">
      <c r="A4" s="141" t="s">
        <v>28</v>
      </c>
      <c r="B4" s="142" t="str">
        <f>IF(Master!B4="","",Master!B4)</f>
        <v>18th October 2014</v>
      </c>
      <c r="C4" s="142"/>
      <c r="F4" s="142"/>
      <c r="K4" s="144" t="s">
        <v>2</v>
      </c>
      <c r="L4" s="283" t="str">
        <f>VLOOKUP(K4,Master!A26:B29,2,FALSE)</f>
        <v>South East</v>
      </c>
      <c r="M4" s="284"/>
      <c r="N4" s="284"/>
    </row>
    <row r="5" spans="1:14" s="143" customFormat="1" ht="30" customHeight="1">
      <c r="A5" s="141"/>
      <c r="B5" s="142"/>
      <c r="C5" s="142"/>
      <c r="F5" s="142"/>
      <c r="K5" s="144" t="s">
        <v>3</v>
      </c>
      <c r="L5" s="283" t="str">
        <f>VLOOKUP(K5,Master!A26:B29,2,FALSE)</f>
        <v>North</v>
      </c>
      <c r="M5" s="284"/>
      <c r="N5" s="284"/>
    </row>
    <row r="6" spans="1:14" s="143" customFormat="1" ht="30" customHeight="1">
      <c r="A6" s="145" t="s">
        <v>87</v>
      </c>
      <c r="B6" s="144"/>
      <c r="K6" s="144" t="s">
        <v>4</v>
      </c>
      <c r="L6" s="283" t="str">
        <f>VLOOKUP(K6,Master!A26:B29,2,FALSE)</f>
        <v>South Central</v>
      </c>
      <c r="M6" s="284"/>
      <c r="N6" s="284"/>
    </row>
    <row r="7" ht="13.5" thickBot="1"/>
    <row r="8" spans="1:20" ht="30" customHeight="1">
      <c r="A8" s="397" t="str">
        <f>Master!$B$15</f>
        <v>Ten Fox</v>
      </c>
      <c r="B8" s="413"/>
      <c r="C8" s="413"/>
      <c r="D8" s="413"/>
      <c r="E8" s="414"/>
      <c r="F8" s="340" t="s">
        <v>6</v>
      </c>
      <c r="G8" s="373"/>
      <c r="H8" s="373"/>
      <c r="I8" s="373"/>
      <c r="J8" s="390"/>
      <c r="K8" s="340" t="s">
        <v>7</v>
      </c>
      <c r="L8" s="373"/>
      <c r="M8" s="373"/>
      <c r="N8" s="390"/>
      <c r="P8" s="408" t="s">
        <v>10</v>
      </c>
      <c r="Q8" s="409"/>
      <c r="R8" s="409"/>
      <c r="S8" s="409"/>
      <c r="T8" s="410"/>
    </row>
    <row r="9" spans="1:20" ht="30" customHeight="1">
      <c r="A9" s="345" t="s">
        <v>79</v>
      </c>
      <c r="B9" s="411"/>
      <c r="C9" s="411"/>
      <c r="D9" s="411"/>
      <c r="E9" s="412"/>
      <c r="F9" s="9">
        <v>1</v>
      </c>
      <c r="G9" s="7">
        <v>2</v>
      </c>
      <c r="H9" s="7">
        <v>3</v>
      </c>
      <c r="I9" s="7">
        <v>4</v>
      </c>
      <c r="J9" s="14">
        <v>5</v>
      </c>
      <c r="K9" s="9" t="s">
        <v>1</v>
      </c>
      <c r="L9" s="7" t="s">
        <v>2</v>
      </c>
      <c r="M9" s="7" t="s">
        <v>3</v>
      </c>
      <c r="N9" s="14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>
      <c r="A10" s="159"/>
      <c r="B10" s="155" t="s">
        <v>1</v>
      </c>
      <c r="C10" s="156" t="s">
        <v>9</v>
      </c>
      <c r="D10" s="157" t="s">
        <v>2</v>
      </c>
      <c r="E10" s="134"/>
      <c r="F10" s="6" t="s">
        <v>2</v>
      </c>
      <c r="G10" s="8" t="s">
        <v>2</v>
      </c>
      <c r="H10" s="8" t="s">
        <v>1</v>
      </c>
      <c r="I10" s="287" t="s">
        <v>106</v>
      </c>
      <c r="J10" s="134" t="s">
        <v>106</v>
      </c>
      <c r="K10" s="9">
        <f aca="true" t="shared" si="0" ref="K10:K15">IF(OR(F10="",G10="",H10="",I10="",J10=""),"",IF(OR($B10="A",$D10="A"),IF(P10=(Q10+R10+S10),4,IF(P10&gt;(Q10+R10+S10),6,2)),""))</f>
        <v>2</v>
      </c>
      <c r="L10" s="7">
        <f aca="true" t="shared" si="1" ref="L10:L15">IF(OR(F10="",G10="",H10="",I10="",J10=""),"",IF(OR($B10="B",$D10="B"),IF(Q10=(P10+R10+S10),4,IF(Q10&gt;(P10+R10+S10),6,2)),""))</f>
        <v>6</v>
      </c>
      <c r="M10" s="10">
        <f aca="true" t="shared" si="2" ref="M10:M15">IF(OR(F10="",G10="",H10="",I10="",J10=""),"",IF(OR($B10="C",$D10="C"),IF(R10=(P10+Q10+S10),4,IF(R10&gt;(P10+Q10+S10),6,2)),""))</f>
      </c>
      <c r="N10" s="11">
        <f aca="true" t="shared" si="3" ref="N10:N15">IF(OR(F10="",G10="",H10="",I10="",J10=""),"",IF(OR($B10="D",$D10="D"),IF(S10=(P10+Q10+R10),4,IF(S10&gt;(P10+Q10+R10),6,2)),""))</f>
      </c>
      <c r="P10" s="12">
        <f aca="true" t="shared" si="4" ref="P10:P15">IF($F10="A",1,0)+IF($G10="A",1,0)+IF($H10="A",1,0)+IF($I10="A",1,0)+IF($J10="A",1,0)</f>
        <v>1</v>
      </c>
      <c r="Q10" s="12">
        <f aca="true" t="shared" si="5" ref="Q10:Q15">IF($F10="B",1,0)+IF($G10="B",1,0)+IF($H10="B",1,0)+IF($I10="B",1,0)+IF($J10="B",1,0)</f>
        <v>2</v>
      </c>
      <c r="R10" s="12">
        <f aca="true" t="shared" si="6" ref="R10:R15">IF($F10="C",1,0)+IF($G10="C",1,0)+IF($H10="C",1,0)+IF($I10="C",1,0)+IF($J10="C",1,0)</f>
        <v>0</v>
      </c>
      <c r="S10" s="12">
        <f aca="true" t="shared" si="7" ref="S10:S15">IF($F10="D",1,0)+IF($G10="D",1,0)+IF($H10="D",1,0)+IF($I10="D",1,0)+IF($J10="D",1,0)</f>
        <v>0</v>
      </c>
      <c r="T10" s="12">
        <f aca="true" t="shared" si="8" ref="T10:T15">IF($F10="X",1,0)+IF($G10="X",1,0)+IF($H10="X",1,0)+IF($I10="X",1,0)+IF($J10="X",1,0)</f>
        <v>2</v>
      </c>
    </row>
    <row r="11" spans="1:20" ht="30" customHeight="1">
      <c r="A11" s="159"/>
      <c r="B11" s="155" t="s">
        <v>4</v>
      </c>
      <c r="C11" s="156" t="s">
        <v>9</v>
      </c>
      <c r="D11" s="157" t="s">
        <v>3</v>
      </c>
      <c r="E11" s="134"/>
      <c r="F11" s="6" t="s">
        <v>3</v>
      </c>
      <c r="G11" s="8" t="s">
        <v>3</v>
      </c>
      <c r="H11" s="8" t="s">
        <v>3</v>
      </c>
      <c r="I11" s="287" t="s">
        <v>106</v>
      </c>
      <c r="J11" s="134" t="s">
        <v>106</v>
      </c>
      <c r="K11" s="13">
        <f t="shared" si="0"/>
      </c>
      <c r="L11" s="10">
        <f t="shared" si="1"/>
      </c>
      <c r="M11" s="7">
        <f t="shared" si="2"/>
        <v>6</v>
      </c>
      <c r="N11" s="14">
        <f t="shared" si="3"/>
        <v>2</v>
      </c>
      <c r="P11" s="12">
        <f t="shared" si="4"/>
        <v>0</v>
      </c>
      <c r="Q11" s="12">
        <f t="shared" si="5"/>
        <v>0</v>
      </c>
      <c r="R11" s="12">
        <f t="shared" si="6"/>
        <v>3</v>
      </c>
      <c r="S11" s="12">
        <f t="shared" si="7"/>
        <v>0</v>
      </c>
      <c r="T11" s="12">
        <f t="shared" si="8"/>
        <v>2</v>
      </c>
    </row>
    <row r="12" spans="1:20" ht="30" customHeight="1">
      <c r="A12" s="219">
        <f>VLOOKUP(B12,Lookup!C$14:I$17,2,FALSE)</f>
      </c>
      <c r="B12" s="132" t="s">
        <v>2</v>
      </c>
      <c r="C12" s="147" t="s">
        <v>9</v>
      </c>
      <c r="D12" s="133" t="s">
        <v>3</v>
      </c>
      <c r="E12" s="220">
        <f>VLOOKUP(D12,Lookup!C$14:I$17,2,FALSE)</f>
      </c>
      <c r="F12" s="6" t="s">
        <v>3</v>
      </c>
      <c r="G12" s="8" t="s">
        <v>3</v>
      </c>
      <c r="H12" s="8" t="s">
        <v>3</v>
      </c>
      <c r="I12" s="287" t="s">
        <v>106</v>
      </c>
      <c r="J12" s="134" t="s">
        <v>106</v>
      </c>
      <c r="K12" s="13">
        <f t="shared" si="0"/>
      </c>
      <c r="L12" s="7">
        <f t="shared" si="1"/>
        <v>2</v>
      </c>
      <c r="M12" s="7">
        <f t="shared" si="2"/>
        <v>6</v>
      </c>
      <c r="N12" s="11">
        <f t="shared" si="3"/>
      </c>
      <c r="P12" s="12">
        <f t="shared" si="4"/>
        <v>0</v>
      </c>
      <c r="Q12" s="12">
        <f t="shared" si="5"/>
        <v>0</v>
      </c>
      <c r="R12" s="12">
        <f t="shared" si="6"/>
        <v>3</v>
      </c>
      <c r="S12" s="12">
        <f t="shared" si="7"/>
        <v>0</v>
      </c>
      <c r="T12" s="12">
        <f t="shared" si="8"/>
        <v>2</v>
      </c>
    </row>
    <row r="13" spans="1:20" ht="30" customHeight="1">
      <c r="A13" s="219">
        <f>VLOOKUP(B13,Lookup!C$14:I$17,2,FALSE)</f>
      </c>
      <c r="B13" s="132" t="s">
        <v>1</v>
      </c>
      <c r="C13" s="147" t="s">
        <v>9</v>
      </c>
      <c r="D13" s="133" t="s">
        <v>4</v>
      </c>
      <c r="E13" s="220">
        <f>VLOOKUP(D13,Lookup!C$14:I$17,2,FALSE)</f>
        <v>25</v>
      </c>
      <c r="F13" s="6" t="s">
        <v>4</v>
      </c>
      <c r="G13" s="8" t="s">
        <v>4</v>
      </c>
      <c r="H13" s="8" t="s">
        <v>4</v>
      </c>
      <c r="I13" s="287" t="s">
        <v>106</v>
      </c>
      <c r="J13" s="134" t="s">
        <v>106</v>
      </c>
      <c r="K13" s="9">
        <f t="shared" si="0"/>
        <v>2</v>
      </c>
      <c r="L13" s="10">
        <f t="shared" si="1"/>
      </c>
      <c r="M13" s="10">
        <f t="shared" si="2"/>
      </c>
      <c r="N13" s="14">
        <f t="shared" si="3"/>
        <v>6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3</v>
      </c>
      <c r="T13" s="12">
        <f t="shared" si="8"/>
        <v>2</v>
      </c>
    </row>
    <row r="14" spans="1:20" ht="30" customHeight="1">
      <c r="A14" s="219">
        <f>VLOOKUP(B14,Lookup!C$14:I$17,3,FALSE)</f>
      </c>
      <c r="B14" s="132" t="s">
        <v>4</v>
      </c>
      <c r="C14" s="147" t="s">
        <v>9</v>
      </c>
      <c r="D14" s="133" t="s">
        <v>2</v>
      </c>
      <c r="E14" s="220">
        <f>VLOOKUP(D14,Lookup!C$14:I$17,3,FALSE)</f>
      </c>
      <c r="F14" s="6" t="s">
        <v>4</v>
      </c>
      <c r="G14" s="8" t="s">
        <v>2</v>
      </c>
      <c r="H14" s="8" t="s">
        <v>2</v>
      </c>
      <c r="I14" s="287" t="s">
        <v>106</v>
      </c>
      <c r="J14" s="134" t="s">
        <v>106</v>
      </c>
      <c r="K14" s="13">
        <f t="shared" si="0"/>
      </c>
      <c r="L14" s="7">
        <f t="shared" si="1"/>
        <v>6</v>
      </c>
      <c r="M14" s="10">
        <f t="shared" si="2"/>
      </c>
      <c r="N14" s="14">
        <f t="shared" si="3"/>
        <v>2</v>
      </c>
      <c r="P14" s="12">
        <f t="shared" si="4"/>
        <v>0</v>
      </c>
      <c r="Q14" s="12">
        <f t="shared" si="5"/>
        <v>2</v>
      </c>
      <c r="R14" s="12">
        <f t="shared" si="6"/>
        <v>0</v>
      </c>
      <c r="S14" s="12">
        <f t="shared" si="7"/>
        <v>1</v>
      </c>
      <c r="T14" s="12">
        <f t="shared" si="8"/>
        <v>2</v>
      </c>
    </row>
    <row r="15" spans="1:20" ht="30" customHeight="1" thickBot="1">
      <c r="A15" s="282">
        <f>VLOOKUP(B15,Lookup!C$14:I$17,3,FALSE)</f>
      </c>
      <c r="B15" s="135" t="s">
        <v>3</v>
      </c>
      <c r="C15" s="153" t="s">
        <v>9</v>
      </c>
      <c r="D15" s="136" t="s">
        <v>1</v>
      </c>
      <c r="E15" s="273">
        <f>VLOOKUP(D15,Lookup!C$14:I$17,3,FALSE)</f>
      </c>
      <c r="F15" s="15" t="s">
        <v>1</v>
      </c>
      <c r="G15" s="16" t="s">
        <v>1</v>
      </c>
      <c r="H15" s="16" t="s">
        <v>3</v>
      </c>
      <c r="I15" s="288" t="s">
        <v>106</v>
      </c>
      <c r="J15" s="289" t="s">
        <v>106</v>
      </c>
      <c r="K15" s="9">
        <f t="shared" si="0"/>
        <v>6</v>
      </c>
      <c r="L15" s="10">
        <f t="shared" si="1"/>
      </c>
      <c r="M15" s="7">
        <f t="shared" si="2"/>
        <v>2</v>
      </c>
      <c r="N15" s="11">
        <f t="shared" si="3"/>
      </c>
      <c r="P15" s="12">
        <f t="shared" si="4"/>
        <v>2</v>
      </c>
      <c r="Q15" s="12">
        <f t="shared" si="5"/>
        <v>0</v>
      </c>
      <c r="R15" s="12">
        <f t="shared" si="6"/>
        <v>1</v>
      </c>
      <c r="S15" s="12">
        <f t="shared" si="7"/>
        <v>0</v>
      </c>
      <c r="T15" s="12">
        <f t="shared" si="8"/>
        <v>2</v>
      </c>
    </row>
    <row r="16" spans="1:14" ht="30" customHeight="1" thickBot="1">
      <c r="A16" s="351" t="s">
        <v>8</v>
      </c>
      <c r="B16" s="407"/>
      <c r="C16" s="407"/>
      <c r="D16" s="407"/>
      <c r="E16" s="407"/>
      <c r="F16" s="407"/>
      <c r="G16" s="407"/>
      <c r="H16" s="407"/>
      <c r="I16" s="407"/>
      <c r="J16" s="407"/>
      <c r="K16" s="160">
        <f>SUM(K10:K15)</f>
        <v>10</v>
      </c>
      <c r="L16" s="161">
        <f>SUM(L10:L15)</f>
        <v>14</v>
      </c>
      <c r="M16" s="161">
        <f>SUM(M10:M15)</f>
        <v>14</v>
      </c>
      <c r="N16" s="162">
        <f>SUM(N10:N15)</f>
        <v>10</v>
      </c>
    </row>
    <row r="18" ht="13.5" thickBot="1"/>
    <row r="19" spans="1:20" ht="30" customHeight="1">
      <c r="A19" s="397" t="str">
        <f>Master!$B$16</f>
        <v>14 Step</v>
      </c>
      <c r="B19" s="398"/>
      <c r="C19" s="398"/>
      <c r="D19" s="398"/>
      <c r="E19" s="399"/>
      <c r="F19" s="340" t="s">
        <v>6</v>
      </c>
      <c r="G19" s="373"/>
      <c r="H19" s="373"/>
      <c r="I19" s="373"/>
      <c r="J19" s="390"/>
      <c r="K19" s="340" t="s">
        <v>7</v>
      </c>
      <c r="L19" s="373"/>
      <c r="M19" s="373"/>
      <c r="N19" s="390"/>
      <c r="P19" s="343" t="s">
        <v>10</v>
      </c>
      <c r="Q19" s="415"/>
      <c r="R19" s="415"/>
      <c r="S19" s="415"/>
      <c r="T19" s="415"/>
    </row>
    <row r="20" spans="1:20" ht="30" customHeight="1">
      <c r="A20" s="345" t="s">
        <v>79</v>
      </c>
      <c r="B20" s="346"/>
      <c r="C20" s="346"/>
      <c r="D20" s="346"/>
      <c r="E20" s="347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9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>
      <c r="A21" s="219">
        <f>VLOOKUP(B21,Lookup!C$14:I$17,4,FALSE)</f>
      </c>
      <c r="B21" s="155" t="s">
        <v>1</v>
      </c>
      <c r="C21" s="156" t="s">
        <v>9</v>
      </c>
      <c r="D21" s="157" t="s">
        <v>2</v>
      </c>
      <c r="E21" s="219">
        <f>VLOOKUP(D21,Lookup!C$14:I$17,4,FALSE)</f>
      </c>
      <c r="F21" s="6" t="s">
        <v>2</v>
      </c>
      <c r="G21" s="8" t="s">
        <v>2</v>
      </c>
      <c r="H21" s="8" t="s">
        <v>2</v>
      </c>
      <c r="I21" s="287" t="s">
        <v>106</v>
      </c>
      <c r="J21" s="134" t="s">
        <v>106</v>
      </c>
      <c r="K21" s="9">
        <f aca="true" t="shared" si="9" ref="K21:K26">IF(OR(F21="",G21="",H21="",I21="",J21=""),"",IF(OR($B21="A",$D21="A"),IF(P21=(Q21+R21+S21),4,IF(P21&gt;(Q21+R21+S21),6,2)),""))</f>
        <v>2</v>
      </c>
      <c r="L21" s="7">
        <f aca="true" t="shared" si="10" ref="L21:L26">IF(OR(F21="",G21="",H21="",I21="",J21=""),"",IF(OR($B21="B",$D21="B"),IF(Q21=(P21+R21+S21),4,IF(Q21&gt;(P21+R21+S21),6,2)),""))</f>
        <v>6</v>
      </c>
      <c r="M21" s="10">
        <f aca="true" t="shared" si="11" ref="M21:M26">IF(OR(F21="",G21="",H21="",I21="",J21=""),"",IF(OR($B21="C",$D21="C"),IF(R21=(P21+Q21+S21),4,IF(R21&gt;(P21+Q21+S21),6,2)),""))</f>
      </c>
      <c r="N21" s="11">
        <f aca="true" t="shared" si="12" ref="N21:N26">IF(OR(F21="",G21="",H21="",I21="",J21=""),"",IF(OR($B21="D",$D21="D"),IF(S21=(P21+Q21+R21),4,IF(S21&gt;(P21+Q21+R21),6,2)),""))</f>
      </c>
      <c r="P21" s="12">
        <f aca="true" t="shared" si="13" ref="P21:P26">IF($F21="A",1,0)+IF($G21="A",1,0)+IF($H21="A",1,0)+IF($I21="A",1,0)+IF($J21="A",1,0)</f>
        <v>0</v>
      </c>
      <c r="Q21" s="12">
        <f aca="true" t="shared" si="14" ref="Q21:Q26">IF($F21="B",1,0)+IF($G21="B",1,0)+IF($H21="B",1,0)+IF($I21="B",1,0)+IF($J21="B",1,0)</f>
        <v>3</v>
      </c>
      <c r="R21" s="12">
        <f aca="true" t="shared" si="15" ref="R21:R26">IF($F21="C",1,0)+IF($G21="C",1,0)+IF($H21="C",1,0)+IF($I21="C",1,0)+IF($J21="C",1,0)</f>
        <v>0</v>
      </c>
      <c r="S21" s="12">
        <f aca="true" t="shared" si="16" ref="S21:S26">IF($F21="D",1,0)+IF($G21="D",1,0)+IF($H21="D",1,0)+IF($I21="D",1,0)+IF($J21="D",1,0)</f>
        <v>0</v>
      </c>
      <c r="T21" s="12">
        <f aca="true" t="shared" si="17" ref="T21:T26">IF($F21="X",1,0)+IF($G21="X",1,0)+IF($H21="X",1,0)+IF($I21="X",1,0)+IF($J21="X",1,0)</f>
        <v>2</v>
      </c>
    </row>
    <row r="22" spans="1:20" ht="30" customHeight="1">
      <c r="A22" s="219">
        <f>VLOOKUP(B22,Lookup!C$14:I$17,4,FALSE)</f>
      </c>
      <c r="B22" s="155" t="s">
        <v>4</v>
      </c>
      <c r="C22" s="156" t="s">
        <v>9</v>
      </c>
      <c r="D22" s="157" t="s">
        <v>3</v>
      </c>
      <c r="E22" s="219">
        <f>VLOOKUP(D22,Lookup!C$14:I$17,4,FALSE)</f>
        <v>25</v>
      </c>
      <c r="F22" s="6" t="s">
        <v>3</v>
      </c>
      <c r="G22" s="8" t="s">
        <v>3</v>
      </c>
      <c r="H22" s="8" t="s">
        <v>3</v>
      </c>
      <c r="I22" s="287" t="s">
        <v>106</v>
      </c>
      <c r="J22" s="134" t="s">
        <v>106</v>
      </c>
      <c r="K22" s="13">
        <f t="shared" si="9"/>
      </c>
      <c r="L22" s="10">
        <f t="shared" si="10"/>
      </c>
      <c r="M22" s="7">
        <f t="shared" si="11"/>
        <v>6</v>
      </c>
      <c r="N22" s="14">
        <f t="shared" si="12"/>
        <v>2</v>
      </c>
      <c r="P22" s="12">
        <f t="shared" si="13"/>
        <v>0</v>
      </c>
      <c r="Q22" s="12">
        <f t="shared" si="14"/>
        <v>0</v>
      </c>
      <c r="R22" s="12">
        <f t="shared" si="15"/>
        <v>3</v>
      </c>
      <c r="S22" s="12">
        <f t="shared" si="16"/>
        <v>0</v>
      </c>
      <c r="T22" s="12">
        <f t="shared" si="17"/>
        <v>2</v>
      </c>
    </row>
    <row r="23" spans="1:20" ht="30" customHeight="1">
      <c r="A23" s="219">
        <f>VLOOKUP(B23,Lookup!C$14:I$17,5,FALSE)</f>
        <v>25</v>
      </c>
      <c r="B23" s="132" t="s">
        <v>2</v>
      </c>
      <c r="C23" s="147" t="s">
        <v>9</v>
      </c>
      <c r="D23" s="133" t="s">
        <v>3</v>
      </c>
      <c r="E23" s="219">
        <f>VLOOKUP(D23,Lookup!C$14:I$17,5,FALSE)</f>
        <v>25</v>
      </c>
      <c r="F23" s="6" t="s">
        <v>3</v>
      </c>
      <c r="G23" s="8" t="s">
        <v>3</v>
      </c>
      <c r="H23" s="8" t="s">
        <v>3</v>
      </c>
      <c r="I23" s="287" t="s">
        <v>106</v>
      </c>
      <c r="J23" s="134" t="s">
        <v>106</v>
      </c>
      <c r="K23" s="13">
        <f t="shared" si="9"/>
      </c>
      <c r="L23" s="7">
        <f t="shared" si="10"/>
        <v>2</v>
      </c>
      <c r="M23" s="7">
        <f t="shared" si="11"/>
        <v>6</v>
      </c>
      <c r="N23" s="11">
        <f t="shared" si="12"/>
      </c>
      <c r="P23" s="12">
        <f t="shared" si="13"/>
        <v>0</v>
      </c>
      <c r="Q23" s="12">
        <f t="shared" si="14"/>
        <v>0</v>
      </c>
      <c r="R23" s="12">
        <f t="shared" si="15"/>
        <v>3</v>
      </c>
      <c r="S23" s="12">
        <f t="shared" si="16"/>
        <v>0</v>
      </c>
      <c r="T23" s="12">
        <f t="shared" si="17"/>
        <v>2</v>
      </c>
    </row>
    <row r="24" spans="1:20" ht="30" customHeight="1">
      <c r="A24" s="219">
        <f>VLOOKUP(B24,Lookup!C$14:I$17,5,FALSE)</f>
      </c>
      <c r="B24" s="132" t="s">
        <v>1</v>
      </c>
      <c r="C24" s="147" t="s">
        <v>9</v>
      </c>
      <c r="D24" s="133" t="s">
        <v>4</v>
      </c>
      <c r="E24" s="219">
        <f>VLOOKUP(D24,Lookup!C$14:I$17,5,FALSE)</f>
        <v>25</v>
      </c>
      <c r="F24" s="6" t="s">
        <v>1</v>
      </c>
      <c r="G24" s="8" t="s">
        <v>1</v>
      </c>
      <c r="H24" s="8" t="s">
        <v>4</v>
      </c>
      <c r="I24" s="287" t="s">
        <v>106</v>
      </c>
      <c r="J24" s="134" t="s">
        <v>106</v>
      </c>
      <c r="K24" s="9">
        <f t="shared" si="9"/>
        <v>6</v>
      </c>
      <c r="L24" s="10">
        <f t="shared" si="10"/>
      </c>
      <c r="M24" s="10">
        <f t="shared" si="11"/>
      </c>
      <c r="N24" s="14">
        <f t="shared" si="12"/>
        <v>2</v>
      </c>
      <c r="P24" s="12">
        <f t="shared" si="13"/>
        <v>2</v>
      </c>
      <c r="Q24" s="12">
        <f t="shared" si="14"/>
        <v>0</v>
      </c>
      <c r="R24" s="12">
        <f t="shared" si="15"/>
        <v>0</v>
      </c>
      <c r="S24" s="12">
        <f t="shared" si="16"/>
        <v>1</v>
      </c>
      <c r="T24" s="12">
        <f t="shared" si="17"/>
        <v>2</v>
      </c>
    </row>
    <row r="25" spans="1:20" ht="30" customHeight="1">
      <c r="A25" s="219">
        <f>VLOOKUP(B25,Lookup!C$14:I$17,6,FALSE)</f>
      </c>
      <c r="B25" s="132" t="s">
        <v>4</v>
      </c>
      <c r="C25" s="147" t="s">
        <v>9</v>
      </c>
      <c r="D25" s="133" t="s">
        <v>2</v>
      </c>
      <c r="E25" s="219">
        <f>VLOOKUP(D25,Lookup!C$14:I$17,6,FALSE)</f>
      </c>
      <c r="F25" s="6" t="s">
        <v>4</v>
      </c>
      <c r="G25" s="8" t="s">
        <v>4</v>
      </c>
      <c r="H25" s="8" t="s">
        <v>4</v>
      </c>
      <c r="I25" s="287" t="s">
        <v>106</v>
      </c>
      <c r="J25" s="134" t="s">
        <v>106</v>
      </c>
      <c r="K25" s="13">
        <f t="shared" si="9"/>
      </c>
      <c r="L25" s="7">
        <f t="shared" si="10"/>
        <v>2</v>
      </c>
      <c r="M25" s="10">
        <f t="shared" si="11"/>
      </c>
      <c r="N25" s="14">
        <f t="shared" si="12"/>
        <v>6</v>
      </c>
      <c r="P25" s="12">
        <f t="shared" si="13"/>
        <v>0</v>
      </c>
      <c r="Q25" s="12">
        <f t="shared" si="14"/>
        <v>0</v>
      </c>
      <c r="R25" s="12">
        <f t="shared" si="15"/>
        <v>0</v>
      </c>
      <c r="S25" s="12">
        <f t="shared" si="16"/>
        <v>3</v>
      </c>
      <c r="T25" s="12">
        <f t="shared" si="17"/>
        <v>2</v>
      </c>
    </row>
    <row r="26" spans="1:20" ht="30" customHeight="1" thickBot="1">
      <c r="A26" s="219">
        <f>VLOOKUP(B26,Lookup!C$14:I$17,6,FALSE)</f>
      </c>
      <c r="B26" s="135" t="s">
        <v>3</v>
      </c>
      <c r="C26" s="153" t="s">
        <v>9</v>
      </c>
      <c r="D26" s="136" t="s">
        <v>1</v>
      </c>
      <c r="E26" s="219">
        <f>VLOOKUP(D26,Lookup!C$14:I$17,6,FALSE)</f>
      </c>
      <c r="F26" s="15" t="s">
        <v>3</v>
      </c>
      <c r="G26" s="16" t="s">
        <v>3</v>
      </c>
      <c r="H26" s="16" t="s">
        <v>3</v>
      </c>
      <c r="I26" s="288" t="s">
        <v>106</v>
      </c>
      <c r="J26" s="289" t="s">
        <v>106</v>
      </c>
      <c r="K26" s="17">
        <f t="shared" si="9"/>
        <v>2</v>
      </c>
      <c r="L26" s="18">
        <f t="shared" si="10"/>
      </c>
      <c r="M26" s="19">
        <f t="shared" si="11"/>
        <v>6</v>
      </c>
      <c r="N26" s="20">
        <f t="shared" si="12"/>
      </c>
      <c r="P26" s="12">
        <f t="shared" si="13"/>
        <v>0</v>
      </c>
      <c r="Q26" s="12">
        <f t="shared" si="14"/>
        <v>0</v>
      </c>
      <c r="R26" s="12">
        <f t="shared" si="15"/>
        <v>3</v>
      </c>
      <c r="S26" s="12">
        <f t="shared" si="16"/>
        <v>0</v>
      </c>
      <c r="T26" s="12">
        <f t="shared" si="17"/>
        <v>2</v>
      </c>
    </row>
    <row r="27" spans="1:14" ht="30" customHeight="1" thickBot="1">
      <c r="A27" s="351" t="s">
        <v>8</v>
      </c>
      <c r="B27" s="407"/>
      <c r="C27" s="407"/>
      <c r="D27" s="407"/>
      <c r="E27" s="407"/>
      <c r="F27" s="407"/>
      <c r="G27" s="407"/>
      <c r="H27" s="407"/>
      <c r="I27" s="407"/>
      <c r="J27" s="407"/>
      <c r="K27" s="21">
        <f>SUM(K21:K26)</f>
        <v>10</v>
      </c>
      <c r="L27" s="22">
        <f>SUM(L21:L26)</f>
        <v>10</v>
      </c>
      <c r="M27" s="22">
        <f>SUM(M21:M26)</f>
        <v>18</v>
      </c>
      <c r="N27" s="23">
        <f>SUM(N21:N26)</f>
        <v>10</v>
      </c>
    </row>
    <row r="30" ht="13.5" thickBot="1"/>
    <row r="31" spans="1:14" ht="30" customHeight="1" thickBot="1">
      <c r="A31" s="404" t="s">
        <v>13</v>
      </c>
      <c r="B31" s="405"/>
      <c r="C31" s="405"/>
      <c r="D31" s="405"/>
      <c r="E31" s="405"/>
      <c r="F31" s="405"/>
      <c r="G31" s="405"/>
      <c r="H31" s="405"/>
      <c r="I31" s="405"/>
      <c r="J31" s="406"/>
      <c r="K31" s="163" t="s">
        <v>1</v>
      </c>
      <c r="L31" s="164" t="s">
        <v>2</v>
      </c>
      <c r="M31" s="164" t="s">
        <v>3</v>
      </c>
      <c r="N31" s="165" t="s">
        <v>4</v>
      </c>
    </row>
    <row r="32" spans="1:14" ht="30" customHeight="1">
      <c r="A32" s="384" t="s">
        <v>14</v>
      </c>
      <c r="B32" s="385"/>
      <c r="C32" s="385"/>
      <c r="D32" s="385"/>
      <c r="E32" s="385"/>
      <c r="F32" s="385"/>
      <c r="G32" s="385"/>
      <c r="H32" s="385"/>
      <c r="I32" s="385"/>
      <c r="J32" s="386"/>
      <c r="K32" s="24">
        <f>K16+K27</f>
        <v>20</v>
      </c>
      <c r="L32" s="25">
        <f>L16+L27</f>
        <v>24</v>
      </c>
      <c r="M32" s="25">
        <f>M16+M27</f>
        <v>32</v>
      </c>
      <c r="N32" s="26">
        <f>N16+N27</f>
        <v>20</v>
      </c>
    </row>
    <row r="33" spans="1:14" ht="30" customHeight="1">
      <c r="A33" s="394" t="s">
        <v>15</v>
      </c>
      <c r="B33" s="395"/>
      <c r="C33" s="395"/>
      <c r="D33" s="395"/>
      <c r="E33" s="395"/>
      <c r="F33" s="395"/>
      <c r="G33" s="395"/>
      <c r="H33" s="395"/>
      <c r="I33" s="395"/>
      <c r="J33" s="396"/>
      <c r="K33" s="239">
        <f>VLOOKUP(K31,Lookup!$C14:$I17,7,FALSE)</f>
        <v>12</v>
      </c>
      <c r="L33" s="274">
        <f>VLOOKUP(L31,Lookup!$C14:$I17,7,FALSE)</f>
        <v>11</v>
      </c>
      <c r="M33" s="274">
        <f>VLOOKUP(M31,Lookup!$C14:$I17,7,FALSE)</f>
        <v>10</v>
      </c>
      <c r="N33" s="275">
        <f>VLOOKUP(N31,Lookup!$C14:$I17,7,FALSE)</f>
        <v>10</v>
      </c>
    </row>
    <row r="34" spans="1:14" ht="30" customHeight="1">
      <c r="A34" s="394" t="s">
        <v>16</v>
      </c>
      <c r="B34" s="395"/>
      <c r="C34" s="395"/>
      <c r="D34" s="395"/>
      <c r="E34" s="395"/>
      <c r="F34" s="395"/>
      <c r="G34" s="395"/>
      <c r="H34" s="395"/>
      <c r="I34" s="395"/>
      <c r="J34" s="396"/>
      <c r="K34" s="27">
        <f>K56</f>
        <v>0</v>
      </c>
      <c r="L34" s="28">
        <f>L56</f>
        <v>0.5</v>
      </c>
      <c r="M34" s="28">
        <f>M56</f>
        <v>3</v>
      </c>
      <c r="N34" s="29">
        <f>N56</f>
        <v>2</v>
      </c>
    </row>
    <row r="35" spans="1:14" ht="30" customHeight="1">
      <c r="A35" s="394" t="s">
        <v>107</v>
      </c>
      <c r="B35" s="395"/>
      <c r="C35" s="395"/>
      <c r="D35" s="395"/>
      <c r="E35" s="395"/>
      <c r="F35" s="395"/>
      <c r="G35" s="395"/>
      <c r="H35" s="395"/>
      <c r="I35" s="395"/>
      <c r="J35" s="396"/>
      <c r="K35" s="302"/>
      <c r="L35" s="303"/>
      <c r="M35" s="303"/>
      <c r="N35" s="304"/>
    </row>
    <row r="36" spans="1:14" ht="30" customHeight="1" thickBot="1">
      <c r="A36" s="391" t="s">
        <v>17</v>
      </c>
      <c r="B36" s="392"/>
      <c r="C36" s="392"/>
      <c r="D36" s="392"/>
      <c r="E36" s="392"/>
      <c r="F36" s="392"/>
      <c r="G36" s="392"/>
      <c r="H36" s="392"/>
      <c r="I36" s="392"/>
      <c r="J36" s="393"/>
      <c r="K36" s="30">
        <f>K32+K33-K34+K35</f>
        <v>32</v>
      </c>
      <c r="L36" s="31">
        <f>L32+L33-L34+L35</f>
        <v>34.5</v>
      </c>
      <c r="M36" s="31">
        <f>M32+M33-M34+M35</f>
        <v>39</v>
      </c>
      <c r="N36" s="32">
        <f>N32+N33-N34+N35</f>
        <v>28</v>
      </c>
    </row>
    <row r="37" spans="1:14" ht="30" customHeight="1" thickBot="1">
      <c r="A37" s="375" t="s">
        <v>12</v>
      </c>
      <c r="B37" s="375"/>
      <c r="C37" s="375"/>
      <c r="D37" s="375"/>
      <c r="E37" s="375"/>
      <c r="F37" s="375"/>
      <c r="G37" s="375"/>
      <c r="H37" s="375"/>
      <c r="I37" s="375"/>
      <c r="J37" s="362"/>
      <c r="K37" s="69">
        <f>IF(SUM($K36:$N36)&gt;0,RANK(K36,$K36:$N36,0),"")</f>
        <v>3</v>
      </c>
      <c r="L37" s="70">
        <f>IF(SUM($K36:$N36)&gt;0,RANK(L36,$K36:$N36,0),"")</f>
        <v>2</v>
      </c>
      <c r="M37" s="70">
        <f>IF(SUM($K36:$N36)&gt;0,RANK(M36,$K36:$N36,0),"")</f>
        <v>1</v>
      </c>
      <c r="N37" s="71">
        <f>IF(SUM($K36:$N36)&gt;0,RANK(N36,$K36:$N36,0),"")</f>
        <v>4</v>
      </c>
    </row>
    <row r="40" spans="1:14" ht="30" customHeight="1" thickBot="1">
      <c r="A40" s="403" t="s">
        <v>20</v>
      </c>
      <c r="B40" s="403"/>
      <c r="C40" s="403"/>
      <c r="D40" s="403"/>
      <c r="E40" s="403"/>
      <c r="F40" s="367"/>
      <c r="G40" s="367"/>
      <c r="H40" s="367"/>
      <c r="I40" s="367"/>
      <c r="J40" s="367"/>
      <c r="K40" s="367"/>
      <c r="L40" s="367"/>
      <c r="M40" s="367"/>
      <c r="N40" s="367"/>
    </row>
    <row r="41" spans="1:14" ht="30" customHeight="1">
      <c r="A41" s="400" t="str">
        <f>IF(A8="","",A8)</f>
        <v>Ten Fox</v>
      </c>
      <c r="B41" s="401"/>
      <c r="C41" s="401"/>
      <c r="D41" s="401"/>
      <c r="E41" s="402"/>
      <c r="F41" s="373" t="s">
        <v>18</v>
      </c>
      <c r="G41" s="373"/>
      <c r="H41" s="373"/>
      <c r="I41" s="373"/>
      <c r="J41" s="379"/>
      <c r="K41" s="373" t="s">
        <v>19</v>
      </c>
      <c r="L41" s="373"/>
      <c r="M41" s="373"/>
      <c r="N41" s="390"/>
    </row>
    <row r="42" spans="1:14" ht="30" customHeight="1" thickBot="1">
      <c r="A42" s="387" t="s">
        <v>79</v>
      </c>
      <c r="B42" s="388"/>
      <c r="C42" s="388"/>
      <c r="D42" s="388"/>
      <c r="E42" s="389"/>
      <c r="F42" s="19" t="s">
        <v>1</v>
      </c>
      <c r="G42" s="19" t="s">
        <v>2</v>
      </c>
      <c r="H42" s="19" t="s">
        <v>3</v>
      </c>
      <c r="I42" s="170" t="s">
        <v>4</v>
      </c>
      <c r="J42" s="380"/>
      <c r="K42" s="19" t="s">
        <v>1</v>
      </c>
      <c r="L42" s="19" t="s">
        <v>2</v>
      </c>
      <c r="M42" s="19" t="s">
        <v>3</v>
      </c>
      <c r="N42" s="146" t="s">
        <v>4</v>
      </c>
    </row>
    <row r="43" spans="1:14" ht="30" customHeight="1">
      <c r="A43" s="42">
        <f aca="true" t="shared" si="18" ref="A43:A48">IF(A10="","",A10)</f>
      </c>
      <c r="B43" s="166" t="s">
        <v>1</v>
      </c>
      <c r="C43" s="167" t="s">
        <v>9</v>
      </c>
      <c r="D43" s="168" t="s">
        <v>2</v>
      </c>
      <c r="E43" s="151">
        <f aca="true" t="shared" si="19" ref="E43:E48">IF(E10="","",E10)</f>
      </c>
      <c r="F43" s="148">
        <f aca="true" t="shared" si="20" ref="F43:F48">IF(OR(AND($A43&lt;&gt;"",$B43="A"),AND($D43="A",$E43&lt;&gt;"")),K10,"")</f>
      </c>
      <c r="G43" s="34">
        <f aca="true" t="shared" si="21" ref="G43:G48">IF(OR(AND($A43&lt;&gt;"",$B43="B"),AND($D43="B",$E43&lt;&gt;"")),L10,"")</f>
      </c>
      <c r="H43" s="34">
        <f aca="true" t="shared" si="22" ref="H43:H48">IF(OR(AND($A43&lt;&gt;"",$B43="C"),AND($D43="C",$E43&lt;&gt;"")),M10,"")</f>
      </c>
      <c r="I43" s="171">
        <f aca="true" t="shared" si="23" ref="I43:I48">IF(OR(AND($A43&lt;&gt;"",$B43="D"),AND($D43="D",$E43&lt;&gt;"")),N10,"")</f>
      </c>
      <c r="J43" s="380"/>
      <c r="K43" s="174">
        <f aca="true" t="shared" si="24" ref="K43:K48">IF(F43&lt;&gt;"",F43*IF($B43="A",$A43/100,1)*IF($D43="A",$E43/100,1),"")</f>
      </c>
      <c r="L43" s="35">
        <f aca="true" t="shared" si="25" ref="L43:L48">IF(G43&lt;&gt;"",G43*IF($B43="B",$A43/100,1)*IF($D43="B",$E43/100,1),"")</f>
      </c>
      <c r="M43" s="35">
        <f aca="true" t="shared" si="26" ref="M43:M48">IF(H43&lt;&gt;"",H43*IF($B43="C",$A43/100,1)*IF($D43="C",$E43/100,1),"")</f>
      </c>
      <c r="N43" s="36">
        <f aca="true" t="shared" si="27" ref="N43:N48">IF(I43&lt;&gt;"",I43*IF($B43="D",$A43/100,1)*IF($D43="D",$E43/100,1),"")</f>
      </c>
    </row>
    <row r="44" spans="1:14" ht="30" customHeight="1">
      <c r="A44" s="37">
        <f t="shared" si="18"/>
      </c>
      <c r="B44" s="155" t="s">
        <v>4</v>
      </c>
      <c r="C44" s="156" t="s">
        <v>9</v>
      </c>
      <c r="D44" s="157" t="s">
        <v>3</v>
      </c>
      <c r="E44" s="152">
        <f t="shared" si="19"/>
      </c>
      <c r="F44" s="149">
        <f t="shared" si="20"/>
      </c>
      <c r="G44" s="38">
        <f t="shared" si="21"/>
      </c>
      <c r="H44" s="38">
        <f t="shared" si="22"/>
      </c>
      <c r="I44" s="172">
        <f t="shared" si="23"/>
      </c>
      <c r="J44" s="380"/>
      <c r="K44" s="28">
        <f t="shared" si="24"/>
      </c>
      <c r="L44" s="39">
        <f t="shared" si="25"/>
      </c>
      <c r="M44" s="39">
        <f t="shared" si="26"/>
      </c>
      <c r="N44" s="40">
        <f t="shared" si="27"/>
      </c>
    </row>
    <row r="45" spans="1:14" ht="30" customHeight="1">
      <c r="A45" s="37">
        <f t="shared" si="18"/>
      </c>
      <c r="B45" s="132" t="s">
        <v>2</v>
      </c>
      <c r="C45" s="147" t="s">
        <v>9</v>
      </c>
      <c r="D45" s="133" t="s">
        <v>3</v>
      </c>
      <c r="E45" s="152">
        <f t="shared" si="19"/>
      </c>
      <c r="F45" s="149">
        <f t="shared" si="20"/>
      </c>
      <c r="G45" s="38">
        <f t="shared" si="21"/>
      </c>
      <c r="H45" s="38">
        <f t="shared" si="22"/>
      </c>
      <c r="I45" s="172">
        <f t="shared" si="23"/>
      </c>
      <c r="J45" s="380"/>
      <c r="K45" s="28">
        <f t="shared" si="24"/>
      </c>
      <c r="L45" s="39">
        <f t="shared" si="25"/>
      </c>
      <c r="M45" s="39">
        <f t="shared" si="26"/>
      </c>
      <c r="N45" s="40">
        <f t="shared" si="27"/>
      </c>
    </row>
    <row r="46" spans="1:14" ht="30" customHeight="1">
      <c r="A46" s="37">
        <f t="shared" si="18"/>
      </c>
      <c r="B46" s="132" t="s">
        <v>1</v>
      </c>
      <c r="C46" s="147" t="s">
        <v>9</v>
      </c>
      <c r="D46" s="133" t="s">
        <v>4</v>
      </c>
      <c r="E46" s="152">
        <f t="shared" si="19"/>
        <v>25</v>
      </c>
      <c r="F46" s="149">
        <f t="shared" si="20"/>
      </c>
      <c r="G46" s="38">
        <f t="shared" si="21"/>
      </c>
      <c r="H46" s="38">
        <f t="shared" si="22"/>
      </c>
      <c r="I46" s="172">
        <f t="shared" si="23"/>
        <v>6</v>
      </c>
      <c r="J46" s="380"/>
      <c r="K46" s="28">
        <f t="shared" si="24"/>
      </c>
      <c r="L46" s="39">
        <f t="shared" si="25"/>
      </c>
      <c r="M46" s="39">
        <f t="shared" si="26"/>
      </c>
      <c r="N46" s="40">
        <f t="shared" si="27"/>
        <v>1.5</v>
      </c>
    </row>
    <row r="47" spans="1:14" ht="30" customHeight="1">
      <c r="A47" s="37">
        <f t="shared" si="18"/>
      </c>
      <c r="B47" s="132" t="s">
        <v>4</v>
      </c>
      <c r="C47" s="147" t="s">
        <v>9</v>
      </c>
      <c r="D47" s="133" t="s">
        <v>2</v>
      </c>
      <c r="E47" s="152">
        <f t="shared" si="19"/>
      </c>
      <c r="F47" s="149">
        <f t="shared" si="20"/>
      </c>
      <c r="G47" s="38">
        <f t="shared" si="21"/>
      </c>
      <c r="H47" s="38">
        <f t="shared" si="22"/>
      </c>
      <c r="I47" s="172">
        <f t="shared" si="23"/>
      </c>
      <c r="J47" s="380"/>
      <c r="K47" s="28">
        <f t="shared" si="24"/>
      </c>
      <c r="L47" s="39">
        <f t="shared" si="25"/>
      </c>
      <c r="M47" s="39">
        <f t="shared" si="26"/>
      </c>
      <c r="N47" s="40">
        <f t="shared" si="27"/>
      </c>
    </row>
    <row r="48" spans="1:14" ht="30" customHeight="1" thickBot="1">
      <c r="A48" s="46">
        <f t="shared" si="18"/>
      </c>
      <c r="B48" s="135" t="s">
        <v>3</v>
      </c>
      <c r="C48" s="153" t="s">
        <v>9</v>
      </c>
      <c r="D48" s="136" t="s">
        <v>1</v>
      </c>
      <c r="E48" s="154">
        <f t="shared" si="19"/>
      </c>
      <c r="F48" s="150">
        <f t="shared" si="20"/>
      </c>
      <c r="G48" s="41">
        <f t="shared" si="21"/>
      </c>
      <c r="H48" s="41">
        <f t="shared" si="22"/>
      </c>
      <c r="I48" s="173">
        <f t="shared" si="23"/>
      </c>
      <c r="J48" s="381"/>
      <c r="K48" s="175">
        <f t="shared" si="24"/>
      </c>
      <c r="L48" s="31">
        <f t="shared" si="25"/>
      </c>
      <c r="M48" s="31">
        <f t="shared" si="26"/>
      </c>
      <c r="N48" s="32">
        <f t="shared" si="27"/>
      </c>
    </row>
    <row r="49" spans="1:14" ht="30" customHeight="1" thickBot="1">
      <c r="A49" s="368" t="str">
        <f>IF(A19="","",A19)</f>
        <v>14 Step</v>
      </c>
      <c r="B49" s="376"/>
      <c r="C49" s="376"/>
      <c r="D49" s="376"/>
      <c r="E49" s="376"/>
      <c r="F49" s="377"/>
      <c r="G49" s="377"/>
      <c r="H49" s="377"/>
      <c r="I49" s="377"/>
      <c r="J49" s="377"/>
      <c r="K49" s="377"/>
      <c r="L49" s="377"/>
      <c r="M49" s="377"/>
      <c r="N49" s="378"/>
    </row>
    <row r="50" spans="1:14" ht="30" customHeight="1">
      <c r="A50" s="33">
        <f aca="true" t="shared" si="28" ref="A50:A55">IF(A21="","",A21)</f>
      </c>
      <c r="B50" s="181" t="s">
        <v>1</v>
      </c>
      <c r="C50" s="182" t="s">
        <v>9</v>
      </c>
      <c r="D50" s="183" t="s">
        <v>2</v>
      </c>
      <c r="E50" s="184">
        <f aca="true" t="shared" si="29" ref="E50:E55">IF(E21="","",E21)</f>
      </c>
      <c r="F50" s="179">
        <f aca="true" t="shared" si="30" ref="F50:F55">IF(OR(AND($A50&lt;&gt;"",$B50="A"),AND($D50="A",$E50&lt;&gt;"")),K21,"")</f>
      </c>
      <c r="G50" s="43">
        <f aca="true" t="shared" si="31" ref="G50:G55">IF(OR(AND($A50&lt;&gt;"",$B50="B"),AND($D50="B",$E50&lt;&gt;"")),L21,"")</f>
      </c>
      <c r="H50" s="43">
        <f aca="true" t="shared" si="32" ref="H50:H55">IF(OR(AND($A50&lt;&gt;"",$B50="C"),AND($D50="C",$E50&lt;&gt;"")),M21,"")</f>
      </c>
      <c r="I50" s="176">
        <f aca="true" t="shared" si="33" ref="I50:I55">IF(OR(AND($A50&lt;&gt;"",$B50="D"),AND($D50="D",$E50&lt;&gt;"")),N21,"")</f>
      </c>
      <c r="J50" s="372"/>
      <c r="K50" s="178">
        <f aca="true" t="shared" si="34" ref="K50:K55">IF(F50&lt;&gt;"",F50*IF($B50="A",$A50/100,1)*IF($D50="A",$E50/100,1),"")</f>
      </c>
      <c r="L50" s="44">
        <f aca="true" t="shared" si="35" ref="L50:L55">IF(G50&lt;&gt;"",G50*IF($B50="B",$A50/100,1)*IF($D50="B",$E50/100,1),"")</f>
      </c>
      <c r="M50" s="44">
        <f aca="true" t="shared" si="36" ref="M50:M55">IF(H50&lt;&gt;"",H50*IF($B50="C",$A50/100,1)*IF($D50="C",$E50/100,1),"")</f>
      </c>
      <c r="N50" s="45">
        <f aca="true" t="shared" si="37" ref="N50:N55">IF(I50&lt;&gt;"",I50*IF($B50="D",$A50/100,1)*IF($D50="D",$E50/100,1),"")</f>
      </c>
    </row>
    <row r="51" spans="1:14" ht="30" customHeight="1">
      <c r="A51" s="37">
        <f t="shared" si="28"/>
      </c>
      <c r="B51" s="155" t="s">
        <v>4</v>
      </c>
      <c r="C51" s="156" t="s">
        <v>9</v>
      </c>
      <c r="D51" s="157" t="s">
        <v>3</v>
      </c>
      <c r="E51" s="152">
        <f t="shared" si="29"/>
        <v>25</v>
      </c>
      <c r="F51" s="149">
        <f t="shared" si="30"/>
      </c>
      <c r="G51" s="38">
        <f t="shared" si="31"/>
      </c>
      <c r="H51" s="38">
        <f t="shared" si="32"/>
        <v>6</v>
      </c>
      <c r="I51" s="172">
        <f t="shared" si="33"/>
      </c>
      <c r="J51" s="382"/>
      <c r="K51" s="28">
        <f t="shared" si="34"/>
      </c>
      <c r="L51" s="39">
        <f t="shared" si="35"/>
      </c>
      <c r="M51" s="39">
        <f t="shared" si="36"/>
        <v>1.5</v>
      </c>
      <c r="N51" s="40">
        <f t="shared" si="37"/>
      </c>
    </row>
    <row r="52" spans="1:14" ht="30" customHeight="1">
      <c r="A52" s="37">
        <f t="shared" si="28"/>
        <v>25</v>
      </c>
      <c r="B52" s="132" t="s">
        <v>2</v>
      </c>
      <c r="C52" s="147" t="s">
        <v>9</v>
      </c>
      <c r="D52" s="133" t="s">
        <v>3</v>
      </c>
      <c r="E52" s="152">
        <f t="shared" si="29"/>
        <v>25</v>
      </c>
      <c r="F52" s="149">
        <f t="shared" si="30"/>
      </c>
      <c r="G52" s="38">
        <f t="shared" si="31"/>
        <v>2</v>
      </c>
      <c r="H52" s="38">
        <f t="shared" si="32"/>
        <v>6</v>
      </c>
      <c r="I52" s="172">
        <f t="shared" si="33"/>
      </c>
      <c r="J52" s="382"/>
      <c r="K52" s="28">
        <f t="shared" si="34"/>
      </c>
      <c r="L52" s="39">
        <f t="shared" si="35"/>
        <v>0.5</v>
      </c>
      <c r="M52" s="39">
        <f t="shared" si="36"/>
        <v>1.5</v>
      </c>
      <c r="N52" s="40">
        <f t="shared" si="37"/>
      </c>
    </row>
    <row r="53" spans="1:14" ht="30" customHeight="1">
      <c r="A53" s="37">
        <f t="shared" si="28"/>
      </c>
      <c r="B53" s="132" t="s">
        <v>1</v>
      </c>
      <c r="C53" s="147" t="s">
        <v>9</v>
      </c>
      <c r="D53" s="133" t="s">
        <v>4</v>
      </c>
      <c r="E53" s="152">
        <f t="shared" si="29"/>
        <v>25</v>
      </c>
      <c r="F53" s="149">
        <f t="shared" si="30"/>
      </c>
      <c r="G53" s="38">
        <f t="shared" si="31"/>
      </c>
      <c r="H53" s="38">
        <f t="shared" si="32"/>
      </c>
      <c r="I53" s="172">
        <f t="shared" si="33"/>
        <v>2</v>
      </c>
      <c r="J53" s="382"/>
      <c r="K53" s="28">
        <f t="shared" si="34"/>
      </c>
      <c r="L53" s="39">
        <f t="shared" si="35"/>
      </c>
      <c r="M53" s="39">
        <f t="shared" si="36"/>
      </c>
      <c r="N53" s="40">
        <f t="shared" si="37"/>
        <v>0.5</v>
      </c>
    </row>
    <row r="54" spans="1:14" ht="30" customHeight="1">
      <c r="A54" s="37">
        <f t="shared" si="28"/>
      </c>
      <c r="B54" s="132" t="s">
        <v>4</v>
      </c>
      <c r="C54" s="147" t="s">
        <v>9</v>
      </c>
      <c r="D54" s="133" t="s">
        <v>2</v>
      </c>
      <c r="E54" s="152">
        <f t="shared" si="29"/>
      </c>
      <c r="F54" s="149">
        <f t="shared" si="30"/>
      </c>
      <c r="G54" s="38">
        <f t="shared" si="31"/>
      </c>
      <c r="H54" s="38">
        <f t="shared" si="32"/>
      </c>
      <c r="I54" s="172">
        <f t="shared" si="33"/>
      </c>
      <c r="J54" s="382"/>
      <c r="K54" s="28">
        <f t="shared" si="34"/>
      </c>
      <c r="L54" s="39">
        <f t="shared" si="35"/>
      </c>
      <c r="M54" s="39">
        <f t="shared" si="36"/>
      </c>
      <c r="N54" s="40">
        <f t="shared" si="37"/>
      </c>
    </row>
    <row r="55" spans="1:14" ht="30" customHeight="1" thickBot="1">
      <c r="A55" s="46">
        <f t="shared" si="28"/>
      </c>
      <c r="B55" s="135" t="s">
        <v>3</v>
      </c>
      <c r="C55" s="153" t="s">
        <v>9</v>
      </c>
      <c r="D55" s="136" t="s">
        <v>1</v>
      </c>
      <c r="E55" s="154">
        <f t="shared" si="29"/>
      </c>
      <c r="F55" s="180">
        <f t="shared" si="30"/>
      </c>
      <c r="G55" s="47">
        <f t="shared" si="31"/>
      </c>
      <c r="H55" s="47">
        <f t="shared" si="32"/>
      </c>
      <c r="I55" s="177">
        <f t="shared" si="33"/>
      </c>
      <c r="J55" s="383"/>
      <c r="K55" s="175">
        <f t="shared" si="34"/>
      </c>
      <c r="L55" s="31">
        <f t="shared" si="35"/>
      </c>
      <c r="M55" s="31">
        <f t="shared" si="36"/>
      </c>
      <c r="N55" s="32">
        <f t="shared" si="37"/>
      </c>
    </row>
    <row r="56" spans="1:14" ht="30" customHeight="1" thickBot="1">
      <c r="A56" s="375" t="s">
        <v>16</v>
      </c>
      <c r="B56" s="375"/>
      <c r="C56" s="375"/>
      <c r="D56" s="375"/>
      <c r="E56" s="375"/>
      <c r="F56" s="375"/>
      <c r="G56" s="375"/>
      <c r="H56" s="375"/>
      <c r="I56" s="375"/>
      <c r="J56" s="362"/>
      <c r="K56" s="48">
        <f>SUM(K43:K55)</f>
        <v>0</v>
      </c>
      <c r="L56" s="49">
        <f>SUM(L43:L55)</f>
        <v>0.5</v>
      </c>
      <c r="M56" s="49">
        <f>SUM(M43:M55)</f>
        <v>3</v>
      </c>
      <c r="N56" s="50">
        <f>SUM(N43:N55)</f>
        <v>2</v>
      </c>
    </row>
  </sheetData>
  <sheetProtection password="CAEF" sheet="1" objects="1" scenarios="1" selectLockedCells="1"/>
  <mergeCells count="28">
    <mergeCell ref="A27:J27"/>
    <mergeCell ref="A20:E20"/>
    <mergeCell ref="P8:T8"/>
    <mergeCell ref="A9:E9"/>
    <mergeCell ref="A8:E8"/>
    <mergeCell ref="F8:J8"/>
    <mergeCell ref="K8:N8"/>
    <mergeCell ref="P19:T19"/>
    <mergeCell ref="A16:J16"/>
    <mergeCell ref="A19:E19"/>
    <mergeCell ref="A41:E41"/>
    <mergeCell ref="F41:I41"/>
    <mergeCell ref="A40:N40"/>
    <mergeCell ref="A34:J34"/>
    <mergeCell ref="A37:J37"/>
    <mergeCell ref="A31:J31"/>
    <mergeCell ref="A33:J33"/>
    <mergeCell ref="F19:J19"/>
    <mergeCell ref="K19:N19"/>
    <mergeCell ref="A32:J32"/>
    <mergeCell ref="A42:E42"/>
    <mergeCell ref="K41:N41"/>
    <mergeCell ref="A36:J36"/>
    <mergeCell ref="A35:J35"/>
    <mergeCell ref="A56:J56"/>
    <mergeCell ref="A49:N49"/>
    <mergeCell ref="J41:J48"/>
    <mergeCell ref="J50:J55"/>
  </mergeCells>
  <conditionalFormatting sqref="F10:J15 F21:J26">
    <cfRule type="expression" priority="1" dxfId="6" stopIfTrue="1">
      <formula>AND(NOT(F10=""),NOT(F10=$B10),NOT(F10=$D10),NOT(F10="X"))</formula>
    </cfRule>
  </conditionalFormatting>
  <conditionalFormatting sqref="A21:A26 A10:A15 E10:E15 E21:E26">
    <cfRule type="expression" priority="2" dxfId="6" stopIfTrue="1">
      <formula>AND(NOT(A10=""),NOT(A10=25),NOT(A10=50))</formula>
    </cfRule>
  </conditionalFormatting>
  <conditionalFormatting sqref="K33:N33">
    <cfRule type="expression" priority="3" dxfId="6" stopIfTrue="1">
      <formula>AND(K33&lt;&gt;"",OR(K33&lt;2,K33&gt;18))</formula>
    </cfRule>
  </conditionalFormatting>
  <conditionalFormatting sqref="K37:N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&amp;L&amp;"Arial,Bold"&amp;26RIDL Final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T56"/>
  <sheetViews>
    <sheetView zoomScale="75" zoomScaleNormal="75" zoomScalePageLayoutView="0" workbookViewId="0" topLeftCell="A11">
      <selection activeCell="M35" sqref="M35"/>
    </sheetView>
  </sheetViews>
  <sheetFormatPr defaultColWidth="9.140625" defaultRowHeight="12.75"/>
  <cols>
    <col min="1" max="1" width="12.7109375" style="3" customWidth="1"/>
    <col min="2" max="2" width="4.8515625" style="3" customWidth="1"/>
    <col min="3" max="3" width="3.28125" style="3" customWidth="1"/>
    <col min="4" max="4" width="5.57421875" style="3" customWidth="1"/>
    <col min="5" max="5" width="12.7109375" style="3" customWidth="1"/>
    <col min="6" max="14" width="10.7109375" style="3" customWidth="1"/>
    <col min="15" max="16384" width="9.140625" style="3" customWidth="1"/>
  </cols>
  <sheetData>
    <row r="1" ht="30" customHeight="1">
      <c r="A1" s="169" t="s">
        <v>23</v>
      </c>
    </row>
    <row r="2" spans="1:7" s="139" customFormat="1" ht="30" customHeight="1">
      <c r="A2" s="51"/>
      <c r="B2" s="52"/>
      <c r="C2" s="52"/>
      <c r="D2" s="52"/>
      <c r="E2" s="52"/>
      <c r="F2" s="52"/>
      <c r="G2" s="52"/>
    </row>
    <row r="3" spans="1:14" s="143" customFormat="1" ht="30" customHeight="1">
      <c r="A3" s="141" t="s">
        <v>27</v>
      </c>
      <c r="B3" s="142" t="str">
        <f>IF(Master!B3="","",Master!B3)</f>
        <v>Streatham</v>
      </c>
      <c r="C3" s="142"/>
      <c r="K3" s="144" t="s">
        <v>1</v>
      </c>
      <c r="L3" s="283" t="str">
        <f>VLOOKUP(K3,Master!A26:B29,2,FALSE)</f>
        <v>South West</v>
      </c>
      <c r="M3" s="284"/>
      <c r="N3" s="284"/>
    </row>
    <row r="4" spans="1:14" s="143" customFormat="1" ht="30" customHeight="1">
      <c r="A4" s="141" t="s">
        <v>28</v>
      </c>
      <c r="B4" s="142" t="str">
        <f>IF(Master!B4="","",Master!B4)</f>
        <v>18th October 2014</v>
      </c>
      <c r="C4" s="142"/>
      <c r="F4" s="142"/>
      <c r="K4" s="144" t="s">
        <v>2</v>
      </c>
      <c r="L4" s="283" t="str">
        <f>VLOOKUP(K4,Master!A26:B29,2,FALSE)</f>
        <v>South East</v>
      </c>
      <c r="M4" s="284"/>
      <c r="N4" s="284"/>
    </row>
    <row r="5" spans="1:14" s="143" customFormat="1" ht="30" customHeight="1">
      <c r="A5" s="141"/>
      <c r="B5" s="142"/>
      <c r="C5" s="142"/>
      <c r="F5" s="142"/>
      <c r="K5" s="144" t="s">
        <v>3</v>
      </c>
      <c r="L5" s="283" t="str">
        <f>VLOOKUP(K5,Master!A26:B29,2,FALSE)</f>
        <v>North</v>
      </c>
      <c r="M5" s="284"/>
      <c r="N5" s="284"/>
    </row>
    <row r="6" spans="1:14" s="143" customFormat="1" ht="30" customHeight="1">
      <c r="A6" s="145" t="s">
        <v>87</v>
      </c>
      <c r="B6" s="144"/>
      <c r="K6" s="144" t="s">
        <v>4</v>
      </c>
      <c r="L6" s="283" t="str">
        <f>VLOOKUP(K6,Master!A26:B29,2,FALSE)</f>
        <v>South Central</v>
      </c>
      <c r="M6" s="284"/>
      <c r="N6" s="284"/>
    </row>
    <row r="7" ht="13.5" thickBot="1"/>
    <row r="8" spans="1:20" ht="30" customHeight="1">
      <c r="A8" s="416" t="str">
        <f>Master!$B$21</f>
        <v>Blues</v>
      </c>
      <c r="B8" s="417"/>
      <c r="C8" s="417"/>
      <c r="D8" s="417"/>
      <c r="E8" s="418"/>
      <c r="F8" s="340" t="s">
        <v>6</v>
      </c>
      <c r="G8" s="373"/>
      <c r="H8" s="373"/>
      <c r="I8" s="373"/>
      <c r="J8" s="390"/>
      <c r="K8" s="340" t="s">
        <v>7</v>
      </c>
      <c r="L8" s="373"/>
      <c r="M8" s="373"/>
      <c r="N8" s="390"/>
      <c r="P8" s="343" t="s">
        <v>10</v>
      </c>
      <c r="Q8" s="415"/>
      <c r="R8" s="415"/>
      <c r="S8" s="415"/>
      <c r="T8" s="415"/>
    </row>
    <row r="9" spans="1:20" ht="30" customHeight="1">
      <c r="A9" s="345" t="s">
        <v>79</v>
      </c>
      <c r="B9" s="346"/>
      <c r="C9" s="346"/>
      <c r="D9" s="346"/>
      <c r="E9" s="347"/>
      <c r="F9" s="9">
        <v>1</v>
      </c>
      <c r="G9" s="7">
        <v>2</v>
      </c>
      <c r="H9" s="7">
        <v>3</v>
      </c>
      <c r="I9" s="7">
        <v>4</v>
      </c>
      <c r="J9" s="14">
        <v>5</v>
      </c>
      <c r="K9" s="9" t="s">
        <v>1</v>
      </c>
      <c r="L9" s="7" t="s">
        <v>2</v>
      </c>
      <c r="M9" s="7" t="s">
        <v>3</v>
      </c>
      <c r="N9" s="14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>
      <c r="A10" s="159"/>
      <c r="B10" s="155" t="s">
        <v>1</v>
      </c>
      <c r="C10" s="156" t="s">
        <v>9</v>
      </c>
      <c r="D10" s="157" t="s">
        <v>2</v>
      </c>
      <c r="E10" s="134"/>
      <c r="F10" s="6" t="s">
        <v>2</v>
      </c>
      <c r="G10" s="8" t="s">
        <v>2</v>
      </c>
      <c r="H10" s="8" t="s">
        <v>2</v>
      </c>
      <c r="I10" s="287" t="s">
        <v>106</v>
      </c>
      <c r="J10" s="134" t="s">
        <v>106</v>
      </c>
      <c r="K10" s="9">
        <f aca="true" t="shared" si="0" ref="K10:K15">IF(OR(F10="",G10="",H10="",I10="",J10=""),"",IF(OR($B10="A",$D10="A"),IF(P10=(Q10+R10+S10),4,IF(P10&gt;(Q10+R10+S10),6,2)),""))</f>
        <v>2</v>
      </c>
      <c r="L10" s="7">
        <f aca="true" t="shared" si="1" ref="L10:L15">IF(OR(F10="",G10="",H10="",I10="",J10=""),"",IF(OR($B10="B",$D10="B"),IF(Q10=(P10+R10+S10),4,IF(Q10&gt;(P10+R10+S10),6,2)),""))</f>
        <v>6</v>
      </c>
      <c r="M10" s="10">
        <f aca="true" t="shared" si="2" ref="M10:M15">IF(OR(F10="",G10="",H10="",I10="",J10=""),"",IF(OR($B10="C",$D10="C"),IF(R10=(P10+Q10+S10),4,IF(R10&gt;(P10+Q10+S10),6,2)),""))</f>
      </c>
      <c r="N10" s="11">
        <f aca="true" t="shared" si="3" ref="N10:N15">IF(OR(F10="",G10="",H10="",I10="",J10=""),"",IF(OR($B10="D",$D10="D"),IF(S10=(P10+Q10+R10),4,IF(S10&gt;(P10+Q10+R10),6,2)),""))</f>
      </c>
      <c r="P10" s="12">
        <f aca="true" t="shared" si="4" ref="P10:P15">IF($F10="A",1,0)+IF($G10="A",1,0)+IF($H10="A",1,0)+IF($I10="A",1,0)+IF($J10="A",1,0)</f>
        <v>0</v>
      </c>
      <c r="Q10" s="12">
        <f aca="true" t="shared" si="5" ref="Q10:Q15">IF($F10="B",1,0)+IF($G10="B",1,0)+IF($H10="B",1,0)+IF($I10="B",1,0)+IF($J10="B",1,0)</f>
        <v>3</v>
      </c>
      <c r="R10" s="12">
        <f aca="true" t="shared" si="6" ref="R10:R15">IF($F10="C",1,0)+IF($G10="C",1,0)+IF($H10="C",1,0)+IF($I10="C",1,0)+IF($J10="C",1,0)</f>
        <v>0</v>
      </c>
      <c r="S10" s="12">
        <f aca="true" t="shared" si="7" ref="S10:S15">IF($F10="D",1,0)+IF($G10="D",1,0)+IF($H10="D",1,0)+IF($I10="D",1,0)+IF($J10="D",1,0)</f>
        <v>0</v>
      </c>
      <c r="T10" s="12">
        <f aca="true" t="shared" si="8" ref="T10:T15">IF($F10="X",1,0)+IF($G10="X",1,0)+IF($H10="X",1,0)+IF($I10="X",1,0)+IF($J10="X",1,0)</f>
        <v>2</v>
      </c>
    </row>
    <row r="11" spans="1:20" ht="30" customHeight="1">
      <c r="A11" s="159"/>
      <c r="B11" s="155" t="s">
        <v>4</v>
      </c>
      <c r="C11" s="156" t="s">
        <v>9</v>
      </c>
      <c r="D11" s="157" t="s">
        <v>3</v>
      </c>
      <c r="E11" s="134"/>
      <c r="F11" s="6" t="s">
        <v>3</v>
      </c>
      <c r="G11" s="8" t="s">
        <v>3</v>
      </c>
      <c r="H11" s="8" t="s">
        <v>4</v>
      </c>
      <c r="I11" s="287" t="s">
        <v>106</v>
      </c>
      <c r="J11" s="134" t="s">
        <v>106</v>
      </c>
      <c r="K11" s="13">
        <f t="shared" si="0"/>
      </c>
      <c r="L11" s="10">
        <f t="shared" si="1"/>
      </c>
      <c r="M11" s="7">
        <f t="shared" si="2"/>
        <v>6</v>
      </c>
      <c r="N11" s="14">
        <f t="shared" si="3"/>
        <v>2</v>
      </c>
      <c r="P11" s="12">
        <f t="shared" si="4"/>
        <v>0</v>
      </c>
      <c r="Q11" s="12">
        <f t="shared" si="5"/>
        <v>0</v>
      </c>
      <c r="R11" s="12">
        <f t="shared" si="6"/>
        <v>2</v>
      </c>
      <c r="S11" s="12">
        <f t="shared" si="7"/>
        <v>1</v>
      </c>
      <c r="T11" s="12">
        <f t="shared" si="8"/>
        <v>2</v>
      </c>
    </row>
    <row r="12" spans="1:20" ht="30" customHeight="1">
      <c r="A12" s="219">
        <f>VLOOKUP(B12,Lookup!C$22:I$25,2,FALSE)</f>
        <v>25</v>
      </c>
      <c r="B12" s="132" t="s">
        <v>2</v>
      </c>
      <c r="C12" s="147" t="s">
        <v>9</v>
      </c>
      <c r="D12" s="133" t="s">
        <v>3</v>
      </c>
      <c r="E12" s="220">
        <f>VLOOKUP(D12,Lookup!C$22:I$25,2,FALSE)</f>
      </c>
      <c r="F12" s="6" t="s">
        <v>2</v>
      </c>
      <c r="G12" s="8" t="s">
        <v>2</v>
      </c>
      <c r="H12" s="8" t="s">
        <v>3</v>
      </c>
      <c r="I12" s="287" t="s">
        <v>106</v>
      </c>
      <c r="J12" s="134" t="s">
        <v>106</v>
      </c>
      <c r="K12" s="13">
        <f t="shared" si="0"/>
      </c>
      <c r="L12" s="7">
        <f t="shared" si="1"/>
        <v>6</v>
      </c>
      <c r="M12" s="7">
        <f t="shared" si="2"/>
        <v>2</v>
      </c>
      <c r="N12" s="11">
        <f t="shared" si="3"/>
      </c>
      <c r="P12" s="12">
        <f t="shared" si="4"/>
        <v>0</v>
      </c>
      <c r="Q12" s="12">
        <f t="shared" si="5"/>
        <v>2</v>
      </c>
      <c r="R12" s="12">
        <f t="shared" si="6"/>
        <v>1</v>
      </c>
      <c r="S12" s="12">
        <f t="shared" si="7"/>
        <v>0</v>
      </c>
      <c r="T12" s="12">
        <f t="shared" si="8"/>
        <v>2</v>
      </c>
    </row>
    <row r="13" spans="1:20" ht="30" customHeight="1">
      <c r="A13" s="219">
        <f>VLOOKUP(B13,Lookup!C$22:I$25,2,FALSE)</f>
      </c>
      <c r="B13" s="132" t="s">
        <v>1</v>
      </c>
      <c r="C13" s="147" t="s">
        <v>9</v>
      </c>
      <c r="D13" s="133" t="s">
        <v>4</v>
      </c>
      <c r="E13" s="220">
        <f>VLOOKUP(D13,Lookup!C$22:I$25,2,FALSE)</f>
      </c>
      <c r="F13" s="6" t="s">
        <v>1</v>
      </c>
      <c r="G13" s="8" t="s">
        <v>1</v>
      </c>
      <c r="H13" s="8" t="s">
        <v>1</v>
      </c>
      <c r="I13" s="287" t="s">
        <v>106</v>
      </c>
      <c r="J13" s="134" t="s">
        <v>106</v>
      </c>
      <c r="K13" s="9">
        <f t="shared" si="0"/>
        <v>6</v>
      </c>
      <c r="L13" s="10">
        <f t="shared" si="1"/>
      </c>
      <c r="M13" s="10">
        <f t="shared" si="2"/>
      </c>
      <c r="N13" s="14">
        <f t="shared" si="3"/>
        <v>2</v>
      </c>
      <c r="P13" s="12">
        <f t="shared" si="4"/>
        <v>3</v>
      </c>
      <c r="Q13" s="12">
        <f t="shared" si="5"/>
        <v>0</v>
      </c>
      <c r="R13" s="12">
        <f t="shared" si="6"/>
        <v>0</v>
      </c>
      <c r="S13" s="12">
        <f t="shared" si="7"/>
        <v>0</v>
      </c>
      <c r="T13" s="12">
        <f t="shared" si="8"/>
        <v>2</v>
      </c>
    </row>
    <row r="14" spans="1:20" ht="30" customHeight="1">
      <c r="A14" s="219">
        <f>VLOOKUP(B14,Lookup!C$22:I$25,3,FALSE)</f>
        <v>25</v>
      </c>
      <c r="B14" s="132" t="s">
        <v>4</v>
      </c>
      <c r="C14" s="147" t="s">
        <v>9</v>
      </c>
      <c r="D14" s="133" t="s">
        <v>2</v>
      </c>
      <c r="E14" s="220">
        <f>VLOOKUP(D14,Lookup!C$22:I$25,3,FALSE)</f>
      </c>
      <c r="F14" s="6" t="s">
        <v>4</v>
      </c>
      <c r="G14" s="8" t="s">
        <v>4</v>
      </c>
      <c r="H14" s="8" t="s">
        <v>4</v>
      </c>
      <c r="I14" s="287" t="s">
        <v>106</v>
      </c>
      <c r="J14" s="134" t="s">
        <v>106</v>
      </c>
      <c r="K14" s="13">
        <f t="shared" si="0"/>
      </c>
      <c r="L14" s="7">
        <f t="shared" si="1"/>
        <v>2</v>
      </c>
      <c r="M14" s="10">
        <f t="shared" si="2"/>
      </c>
      <c r="N14" s="14">
        <f t="shared" si="3"/>
        <v>6</v>
      </c>
      <c r="P14" s="12">
        <f t="shared" si="4"/>
        <v>0</v>
      </c>
      <c r="Q14" s="12">
        <f t="shared" si="5"/>
        <v>0</v>
      </c>
      <c r="R14" s="12">
        <f t="shared" si="6"/>
        <v>0</v>
      </c>
      <c r="S14" s="12">
        <f t="shared" si="7"/>
        <v>3</v>
      </c>
      <c r="T14" s="12">
        <f t="shared" si="8"/>
        <v>2</v>
      </c>
    </row>
    <row r="15" spans="1:20" ht="30" customHeight="1" thickBot="1">
      <c r="A15" s="282">
        <f>VLOOKUP(B15,Lookup!C$22:I$25,3,FALSE)</f>
        <v>50</v>
      </c>
      <c r="B15" s="135" t="s">
        <v>3</v>
      </c>
      <c r="C15" s="153" t="s">
        <v>9</v>
      </c>
      <c r="D15" s="136" t="s">
        <v>1</v>
      </c>
      <c r="E15" s="273">
        <f>VLOOKUP(D15,Lookup!C$22:I$25,3,FALSE)</f>
        <v>25</v>
      </c>
      <c r="F15" s="15" t="s">
        <v>3</v>
      </c>
      <c r="G15" s="16" t="s">
        <v>3</v>
      </c>
      <c r="H15" s="16" t="s">
        <v>3</v>
      </c>
      <c r="I15" s="288" t="s">
        <v>106</v>
      </c>
      <c r="J15" s="289" t="s">
        <v>106</v>
      </c>
      <c r="K15" s="9">
        <f t="shared" si="0"/>
        <v>2</v>
      </c>
      <c r="L15" s="10">
        <f t="shared" si="1"/>
      </c>
      <c r="M15" s="7">
        <f t="shared" si="2"/>
        <v>6</v>
      </c>
      <c r="N15" s="11">
        <f t="shared" si="3"/>
      </c>
      <c r="P15" s="12">
        <f t="shared" si="4"/>
        <v>0</v>
      </c>
      <c r="Q15" s="12">
        <f t="shared" si="5"/>
        <v>0</v>
      </c>
      <c r="R15" s="12">
        <f t="shared" si="6"/>
        <v>3</v>
      </c>
      <c r="S15" s="12">
        <f t="shared" si="7"/>
        <v>0</v>
      </c>
      <c r="T15" s="12">
        <f t="shared" si="8"/>
        <v>2</v>
      </c>
    </row>
    <row r="16" spans="1:14" ht="30" customHeight="1" thickBot="1">
      <c r="A16" s="351" t="s">
        <v>8</v>
      </c>
      <c r="B16" s="407"/>
      <c r="C16" s="407"/>
      <c r="D16" s="407"/>
      <c r="E16" s="407"/>
      <c r="F16" s="407"/>
      <c r="G16" s="407"/>
      <c r="H16" s="407"/>
      <c r="I16" s="407"/>
      <c r="J16" s="407"/>
      <c r="K16" s="160">
        <f>SUM(K10:K15)</f>
        <v>10</v>
      </c>
      <c r="L16" s="161">
        <f>SUM(L10:L15)</f>
        <v>14</v>
      </c>
      <c r="M16" s="161">
        <f>SUM(M10:M15)</f>
        <v>14</v>
      </c>
      <c r="N16" s="162">
        <f>SUM(N10:N15)</f>
        <v>10</v>
      </c>
    </row>
    <row r="18" ht="13.5" thickBot="1"/>
    <row r="19" spans="1:20" ht="30" customHeight="1">
      <c r="A19" s="416" t="str">
        <f>Master!$B$22</f>
        <v>Westminster Waltz</v>
      </c>
      <c r="B19" s="417"/>
      <c r="C19" s="417"/>
      <c r="D19" s="417"/>
      <c r="E19" s="418"/>
      <c r="F19" s="340" t="s">
        <v>6</v>
      </c>
      <c r="G19" s="373"/>
      <c r="H19" s="373"/>
      <c r="I19" s="373"/>
      <c r="J19" s="390"/>
      <c r="K19" s="373" t="s">
        <v>7</v>
      </c>
      <c r="L19" s="373"/>
      <c r="M19" s="373"/>
      <c r="N19" s="390"/>
      <c r="P19" s="343" t="s">
        <v>10</v>
      </c>
      <c r="Q19" s="415"/>
      <c r="R19" s="415"/>
      <c r="S19" s="415"/>
      <c r="T19" s="415"/>
    </row>
    <row r="20" spans="1:20" ht="30" customHeight="1">
      <c r="A20" s="345" t="s">
        <v>79</v>
      </c>
      <c r="B20" s="346"/>
      <c r="C20" s="346"/>
      <c r="D20" s="346"/>
      <c r="E20" s="347"/>
      <c r="F20" s="9">
        <v>1</v>
      </c>
      <c r="G20" s="7">
        <v>2</v>
      </c>
      <c r="H20" s="7">
        <v>3</v>
      </c>
      <c r="I20" s="7">
        <v>4</v>
      </c>
      <c r="J20" s="14">
        <v>5</v>
      </c>
      <c r="K20" s="7" t="s">
        <v>1</v>
      </c>
      <c r="L20" s="7" t="s">
        <v>2</v>
      </c>
      <c r="M20" s="7" t="s">
        <v>3</v>
      </c>
      <c r="N20" s="14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>
      <c r="A21" s="219">
        <f>VLOOKUP(B21,Lookup!C$22:I$25,4,FALSE)</f>
      </c>
      <c r="B21" s="155" t="s">
        <v>1</v>
      </c>
      <c r="C21" s="156" t="s">
        <v>9</v>
      </c>
      <c r="D21" s="157" t="s">
        <v>2</v>
      </c>
      <c r="E21" s="220">
        <f>VLOOKUP(D21,Lookup!C$22:I$25,4,FALSE)</f>
        <v>50</v>
      </c>
      <c r="F21" s="6" t="s">
        <v>2</v>
      </c>
      <c r="G21" s="8" t="s">
        <v>2</v>
      </c>
      <c r="H21" s="8" t="s">
        <v>11</v>
      </c>
      <c r="I21" s="287" t="s">
        <v>106</v>
      </c>
      <c r="J21" s="134" t="s">
        <v>106</v>
      </c>
      <c r="K21" s="7">
        <f aca="true" t="shared" si="9" ref="K21:K26">IF(OR(F21="",G21="",H21="",I21="",J21=""),"",IF(OR($B21="A",$D21="A"),IF(P21=(Q21+R21+S21),4,IF(P21&gt;(Q21+R21+S21),6,2)),""))</f>
        <v>2</v>
      </c>
      <c r="L21" s="7">
        <f aca="true" t="shared" si="10" ref="L21:L26">IF(OR(F21="",G21="",H21="",I21="",J21=""),"",IF(OR($B21="B",$D21="B"),IF(Q21=(P21+R21+S21),4,IF(Q21&gt;(P21+R21+S21),6,2)),""))</f>
        <v>6</v>
      </c>
      <c r="M21" s="10">
        <f aca="true" t="shared" si="11" ref="M21:M26">IF(OR(F21="",G21="",H21="",I21="",J21=""),"",IF(OR($B21="C",$D21="C"),IF(R21=(P21+Q21+S21),4,IF(R21&gt;(P21+Q21+S21),6,2)),""))</f>
      </c>
      <c r="N21" s="11">
        <f aca="true" t="shared" si="12" ref="N21:N26">IF(OR(F21="",G21="",H21="",I21="",J21=""),"",IF(OR($B21="D",$D21="D"),IF(S21=(P21+Q21+R21),4,IF(S21&gt;(P21+Q21+R21),6,2)),""))</f>
      </c>
      <c r="P21" s="12">
        <f aca="true" t="shared" si="13" ref="P21:P26">IF($F21="A",1,0)+IF($G21="A",1,0)+IF($H21="A",1,0)+IF($I21="A",1,0)+IF($J21="A",1,0)</f>
        <v>0</v>
      </c>
      <c r="Q21" s="12">
        <f aca="true" t="shared" si="14" ref="Q21:Q26">IF($F21="B",1,0)+IF($G21="B",1,0)+IF($H21="B",1,0)+IF($I21="B",1,0)+IF($J21="B",1,0)</f>
        <v>2</v>
      </c>
      <c r="R21" s="12">
        <f aca="true" t="shared" si="15" ref="R21:R26">IF($F21="C",1,0)+IF($G21="C",1,0)+IF($H21="C",1,0)+IF($I21="C",1,0)+IF($J21="C",1,0)</f>
        <v>0</v>
      </c>
      <c r="S21" s="12">
        <f aca="true" t="shared" si="16" ref="S21:S26">IF($F21="D",1,0)+IF($G21="D",1,0)+IF($H21="D",1,0)+IF($I21="D",1,0)+IF($J21="D",1,0)</f>
        <v>0</v>
      </c>
      <c r="T21" s="12">
        <f aca="true" t="shared" si="17" ref="T21:T26">IF($F21="X",1,0)+IF($G21="X",1,0)+IF($H21="X",1,0)+IF($I21="X",1,0)+IF($J21="X",1,0)</f>
        <v>3</v>
      </c>
    </row>
    <row r="22" spans="1:20" ht="30" customHeight="1">
      <c r="A22" s="219">
        <f>VLOOKUP(B22,Lookup!C$22:I$25,4,FALSE)</f>
      </c>
      <c r="B22" s="155" t="s">
        <v>4</v>
      </c>
      <c r="C22" s="156" t="s">
        <v>9</v>
      </c>
      <c r="D22" s="157" t="s">
        <v>3</v>
      </c>
      <c r="E22" s="220">
        <f>VLOOKUP(D22,Lookup!C$22:I$25,4,FALSE)</f>
      </c>
      <c r="F22" s="6" t="s">
        <v>4</v>
      </c>
      <c r="G22" s="8" t="s">
        <v>4</v>
      </c>
      <c r="H22" s="8" t="s">
        <v>4</v>
      </c>
      <c r="I22" s="287" t="s">
        <v>106</v>
      </c>
      <c r="J22" s="134" t="s">
        <v>106</v>
      </c>
      <c r="K22" s="10">
        <f t="shared" si="9"/>
      </c>
      <c r="L22" s="10">
        <f t="shared" si="10"/>
      </c>
      <c r="M22" s="7">
        <f t="shared" si="11"/>
        <v>2</v>
      </c>
      <c r="N22" s="14">
        <f t="shared" si="12"/>
        <v>6</v>
      </c>
      <c r="P22" s="12">
        <f t="shared" si="13"/>
        <v>0</v>
      </c>
      <c r="Q22" s="12">
        <f t="shared" si="14"/>
        <v>0</v>
      </c>
      <c r="R22" s="12">
        <f t="shared" si="15"/>
        <v>0</v>
      </c>
      <c r="S22" s="12">
        <f t="shared" si="16"/>
        <v>3</v>
      </c>
      <c r="T22" s="12">
        <f t="shared" si="17"/>
        <v>2</v>
      </c>
    </row>
    <row r="23" spans="1:20" ht="30" customHeight="1">
      <c r="A23" s="219">
        <f>VLOOKUP(B23,Lookup!C$22:I$25,5,FALSE)</f>
        <v>25</v>
      </c>
      <c r="B23" s="132" t="s">
        <v>2</v>
      </c>
      <c r="C23" s="147" t="s">
        <v>9</v>
      </c>
      <c r="D23" s="133" t="s">
        <v>3</v>
      </c>
      <c r="E23" s="220">
        <f>VLOOKUP(D23,Lookup!C$22:I$25,5,FALSE)</f>
        <v>50</v>
      </c>
      <c r="F23" s="6" t="s">
        <v>3</v>
      </c>
      <c r="G23" s="8" t="s">
        <v>3</v>
      </c>
      <c r="H23" s="8" t="s">
        <v>3</v>
      </c>
      <c r="I23" s="287" t="s">
        <v>106</v>
      </c>
      <c r="J23" s="134" t="s">
        <v>106</v>
      </c>
      <c r="K23" s="10">
        <f t="shared" si="9"/>
      </c>
      <c r="L23" s="7">
        <f t="shared" si="10"/>
        <v>2</v>
      </c>
      <c r="M23" s="7">
        <f t="shared" si="11"/>
        <v>6</v>
      </c>
      <c r="N23" s="11">
        <f t="shared" si="12"/>
      </c>
      <c r="P23" s="12">
        <f t="shared" si="13"/>
        <v>0</v>
      </c>
      <c r="Q23" s="12">
        <f t="shared" si="14"/>
        <v>0</v>
      </c>
      <c r="R23" s="12">
        <f t="shared" si="15"/>
        <v>3</v>
      </c>
      <c r="S23" s="12">
        <f t="shared" si="16"/>
        <v>0</v>
      </c>
      <c r="T23" s="12">
        <f t="shared" si="17"/>
        <v>2</v>
      </c>
    </row>
    <row r="24" spans="1:20" ht="30" customHeight="1">
      <c r="A24" s="219">
        <f>VLOOKUP(B24,Lookup!C$22:I$25,5,FALSE)</f>
        <v>50</v>
      </c>
      <c r="B24" s="132" t="s">
        <v>1</v>
      </c>
      <c r="C24" s="147" t="s">
        <v>9</v>
      </c>
      <c r="D24" s="133" t="s">
        <v>4</v>
      </c>
      <c r="E24" s="220">
        <f>VLOOKUP(D24,Lookup!C$22:I$25,5,FALSE)</f>
        <v>50</v>
      </c>
      <c r="F24" s="6" t="s">
        <v>4</v>
      </c>
      <c r="G24" s="8" t="s">
        <v>4</v>
      </c>
      <c r="H24" s="8" t="s">
        <v>1</v>
      </c>
      <c r="I24" s="287" t="s">
        <v>106</v>
      </c>
      <c r="J24" s="134" t="s">
        <v>106</v>
      </c>
      <c r="K24" s="7">
        <f t="shared" si="9"/>
        <v>2</v>
      </c>
      <c r="L24" s="10">
        <f t="shared" si="10"/>
      </c>
      <c r="M24" s="10">
        <f t="shared" si="11"/>
      </c>
      <c r="N24" s="14">
        <f t="shared" si="12"/>
        <v>6</v>
      </c>
      <c r="P24" s="12">
        <f t="shared" si="13"/>
        <v>1</v>
      </c>
      <c r="Q24" s="12">
        <f t="shared" si="14"/>
        <v>0</v>
      </c>
      <c r="R24" s="12">
        <f t="shared" si="15"/>
        <v>0</v>
      </c>
      <c r="S24" s="12">
        <f t="shared" si="16"/>
        <v>2</v>
      </c>
      <c r="T24" s="12">
        <f t="shared" si="17"/>
        <v>2</v>
      </c>
    </row>
    <row r="25" spans="1:20" ht="30" customHeight="1">
      <c r="A25" s="219">
        <f>VLOOKUP(B25,Lookup!C$22:I$25,6,FALSE)</f>
        <v>50</v>
      </c>
      <c r="B25" s="132" t="s">
        <v>4</v>
      </c>
      <c r="C25" s="147" t="s">
        <v>9</v>
      </c>
      <c r="D25" s="133" t="s">
        <v>2</v>
      </c>
      <c r="E25" s="220">
        <f>VLOOKUP(D25,Lookup!C$22:I$25,6,FALSE)</f>
        <v>50</v>
      </c>
      <c r="F25" s="6" t="s">
        <v>4</v>
      </c>
      <c r="G25" s="8" t="s">
        <v>4</v>
      </c>
      <c r="H25" s="8" t="s">
        <v>4</v>
      </c>
      <c r="I25" s="287" t="s">
        <v>106</v>
      </c>
      <c r="J25" s="134" t="s">
        <v>106</v>
      </c>
      <c r="K25" s="10">
        <f t="shared" si="9"/>
      </c>
      <c r="L25" s="7">
        <f t="shared" si="10"/>
        <v>2</v>
      </c>
      <c r="M25" s="10">
        <f t="shared" si="11"/>
      </c>
      <c r="N25" s="14">
        <f t="shared" si="12"/>
        <v>6</v>
      </c>
      <c r="P25" s="12">
        <f t="shared" si="13"/>
        <v>0</v>
      </c>
      <c r="Q25" s="12">
        <f t="shared" si="14"/>
        <v>0</v>
      </c>
      <c r="R25" s="12">
        <f t="shared" si="15"/>
        <v>0</v>
      </c>
      <c r="S25" s="12">
        <f t="shared" si="16"/>
        <v>3</v>
      </c>
      <c r="T25" s="12">
        <f t="shared" si="17"/>
        <v>2</v>
      </c>
    </row>
    <row r="26" spans="1:20" ht="30" customHeight="1" thickBot="1">
      <c r="A26" s="282">
        <f>VLOOKUP(B26,Lookup!C$22:I$25,6,FALSE)</f>
        <v>50</v>
      </c>
      <c r="B26" s="135" t="s">
        <v>3</v>
      </c>
      <c r="C26" s="153" t="s">
        <v>9</v>
      </c>
      <c r="D26" s="136" t="s">
        <v>1</v>
      </c>
      <c r="E26" s="273">
        <f>VLOOKUP(D26,Lookup!C$22:I$25,6,FALSE)</f>
        <v>50</v>
      </c>
      <c r="F26" s="15" t="s">
        <v>3</v>
      </c>
      <c r="G26" s="16" t="s">
        <v>3</v>
      </c>
      <c r="H26" s="16" t="s">
        <v>3</v>
      </c>
      <c r="I26" s="288" t="s">
        <v>106</v>
      </c>
      <c r="J26" s="289" t="s">
        <v>106</v>
      </c>
      <c r="K26" s="19">
        <f t="shared" si="9"/>
        <v>2</v>
      </c>
      <c r="L26" s="18">
        <f t="shared" si="10"/>
      </c>
      <c r="M26" s="19">
        <f t="shared" si="11"/>
        <v>6</v>
      </c>
      <c r="N26" s="20">
        <f t="shared" si="12"/>
      </c>
      <c r="P26" s="12">
        <f t="shared" si="13"/>
        <v>0</v>
      </c>
      <c r="Q26" s="12">
        <f t="shared" si="14"/>
        <v>0</v>
      </c>
      <c r="R26" s="12">
        <f t="shared" si="15"/>
        <v>3</v>
      </c>
      <c r="S26" s="12">
        <f t="shared" si="16"/>
        <v>0</v>
      </c>
      <c r="T26" s="12">
        <f t="shared" si="17"/>
        <v>2</v>
      </c>
    </row>
    <row r="27" spans="1:14" ht="30" customHeight="1" thickBot="1">
      <c r="A27" s="351" t="s">
        <v>8</v>
      </c>
      <c r="B27" s="407"/>
      <c r="C27" s="407"/>
      <c r="D27" s="407"/>
      <c r="E27" s="407"/>
      <c r="F27" s="407"/>
      <c r="G27" s="407"/>
      <c r="H27" s="407"/>
      <c r="I27" s="407"/>
      <c r="J27" s="407"/>
      <c r="K27" s="21">
        <f>SUM(K21:K26)</f>
        <v>6</v>
      </c>
      <c r="L27" s="22">
        <f>SUM(L21:L26)</f>
        <v>10</v>
      </c>
      <c r="M27" s="22">
        <f>SUM(M21:M26)</f>
        <v>14</v>
      </c>
      <c r="N27" s="23">
        <f>SUM(N21:N26)</f>
        <v>18</v>
      </c>
    </row>
    <row r="30" ht="13.5" thickBot="1"/>
    <row r="31" spans="1:14" ht="30" customHeight="1" thickBot="1">
      <c r="A31" s="404" t="s">
        <v>13</v>
      </c>
      <c r="B31" s="405"/>
      <c r="C31" s="405"/>
      <c r="D31" s="405"/>
      <c r="E31" s="405"/>
      <c r="F31" s="405"/>
      <c r="G31" s="405"/>
      <c r="H31" s="405"/>
      <c r="I31" s="405"/>
      <c r="J31" s="406"/>
      <c r="K31" s="163" t="s">
        <v>1</v>
      </c>
      <c r="L31" s="164" t="s">
        <v>2</v>
      </c>
      <c r="M31" s="164" t="s">
        <v>3</v>
      </c>
      <c r="N31" s="165" t="s">
        <v>4</v>
      </c>
    </row>
    <row r="32" spans="1:14" ht="30" customHeight="1">
      <c r="A32" s="384" t="s">
        <v>14</v>
      </c>
      <c r="B32" s="385"/>
      <c r="C32" s="385"/>
      <c r="D32" s="385"/>
      <c r="E32" s="385"/>
      <c r="F32" s="385"/>
      <c r="G32" s="385"/>
      <c r="H32" s="385"/>
      <c r="I32" s="385"/>
      <c r="J32" s="386"/>
      <c r="K32" s="24">
        <f>K16+K27</f>
        <v>16</v>
      </c>
      <c r="L32" s="25">
        <f>L16+L27</f>
        <v>24</v>
      </c>
      <c r="M32" s="25">
        <f>M16+M27</f>
        <v>28</v>
      </c>
      <c r="N32" s="26">
        <f>N16+N27</f>
        <v>28</v>
      </c>
    </row>
    <row r="33" spans="1:14" ht="30" customHeight="1">
      <c r="A33" s="394" t="s">
        <v>15</v>
      </c>
      <c r="B33" s="395"/>
      <c r="C33" s="395"/>
      <c r="D33" s="395"/>
      <c r="E33" s="395"/>
      <c r="F33" s="395"/>
      <c r="G33" s="395"/>
      <c r="H33" s="395"/>
      <c r="I33" s="395"/>
      <c r="J33" s="396"/>
      <c r="K33" s="239">
        <f>VLOOKUP(K31,Lookup!$C22:$I25,7,FALSE)</f>
        <v>7</v>
      </c>
      <c r="L33" s="274">
        <f>VLOOKUP(L31,Lookup!$C22:$I25,7,FALSE)</f>
        <v>6</v>
      </c>
      <c r="M33" s="274">
        <f>VLOOKUP(M31,Lookup!$C22:$I25,7,FALSE)</f>
        <v>6</v>
      </c>
      <c r="N33" s="275">
        <f>VLOOKUP(N31,Lookup!$C22:$I25,7,FALSE)</f>
        <v>7</v>
      </c>
    </row>
    <row r="34" spans="1:14" ht="30" customHeight="1">
      <c r="A34" s="394" t="s">
        <v>16</v>
      </c>
      <c r="B34" s="395"/>
      <c r="C34" s="395"/>
      <c r="D34" s="395"/>
      <c r="E34" s="395"/>
      <c r="F34" s="395"/>
      <c r="G34" s="395"/>
      <c r="H34" s="395"/>
      <c r="I34" s="395"/>
      <c r="J34" s="396"/>
      <c r="K34" s="27">
        <f>K56</f>
        <v>2.5</v>
      </c>
      <c r="L34" s="28">
        <f>L56</f>
        <v>6</v>
      </c>
      <c r="M34" s="28">
        <f>M56</f>
        <v>9</v>
      </c>
      <c r="N34" s="29">
        <f>N56</f>
        <v>7.5</v>
      </c>
    </row>
    <row r="35" spans="1:14" ht="30" customHeight="1">
      <c r="A35" s="394" t="s">
        <v>107</v>
      </c>
      <c r="B35" s="395"/>
      <c r="C35" s="395"/>
      <c r="D35" s="395"/>
      <c r="E35" s="395"/>
      <c r="F35" s="395"/>
      <c r="G35" s="395"/>
      <c r="H35" s="395"/>
      <c r="I35" s="395"/>
      <c r="J35" s="396"/>
      <c r="K35" s="302"/>
      <c r="L35" s="303"/>
      <c r="M35" s="303"/>
      <c r="N35" s="304"/>
    </row>
    <row r="36" spans="1:14" ht="30" customHeight="1" thickBot="1">
      <c r="A36" s="391" t="s">
        <v>17</v>
      </c>
      <c r="B36" s="392"/>
      <c r="C36" s="392"/>
      <c r="D36" s="392"/>
      <c r="E36" s="392"/>
      <c r="F36" s="392"/>
      <c r="G36" s="392"/>
      <c r="H36" s="392"/>
      <c r="I36" s="392"/>
      <c r="J36" s="393"/>
      <c r="K36" s="30">
        <f>K32+K33-K34+K35</f>
        <v>20.5</v>
      </c>
      <c r="L36" s="31">
        <f>L32+L33-L34+L35</f>
        <v>24</v>
      </c>
      <c r="M36" s="31">
        <f>M32+M33-M34+M35</f>
        <v>25</v>
      </c>
      <c r="N36" s="32">
        <f>N32+N33-N34+N35</f>
        <v>27.5</v>
      </c>
    </row>
    <row r="37" spans="1:14" ht="30" customHeight="1" thickBot="1">
      <c r="A37" s="375" t="s">
        <v>12</v>
      </c>
      <c r="B37" s="375"/>
      <c r="C37" s="375"/>
      <c r="D37" s="375"/>
      <c r="E37" s="375"/>
      <c r="F37" s="375"/>
      <c r="G37" s="375"/>
      <c r="H37" s="375"/>
      <c r="I37" s="375"/>
      <c r="J37" s="362"/>
      <c r="K37" s="69">
        <f>IF(SUM($K36:$N36)&gt;0,RANK(K36,$K36:$N36,0),"")</f>
        <v>4</v>
      </c>
      <c r="L37" s="70">
        <f>IF(SUM($K36:$N36)&gt;0,RANK(L36,$K36:$N36,0),"")</f>
        <v>3</v>
      </c>
      <c r="M37" s="70">
        <f>IF(SUM($K36:$N36)&gt;0,RANK(M36,$K36:$N36,0),"")</f>
        <v>2</v>
      </c>
      <c r="N37" s="71">
        <f>IF(SUM($K36:$N36)&gt;0,RANK(N36,$K36:$N36,0),"")</f>
        <v>1</v>
      </c>
    </row>
    <row r="40" spans="1:14" ht="30" customHeight="1" thickBot="1">
      <c r="A40" s="403" t="s">
        <v>20</v>
      </c>
      <c r="B40" s="403"/>
      <c r="C40" s="403"/>
      <c r="D40" s="403"/>
      <c r="E40" s="403"/>
      <c r="F40" s="367"/>
      <c r="G40" s="367"/>
      <c r="H40" s="367"/>
      <c r="I40" s="367"/>
      <c r="J40" s="367"/>
      <c r="K40" s="367"/>
      <c r="L40" s="367"/>
      <c r="M40" s="367"/>
      <c r="N40" s="367"/>
    </row>
    <row r="41" spans="1:14" ht="30" customHeight="1">
      <c r="A41" s="419" t="str">
        <f>IF(A8="","",A8)</f>
        <v>Blues</v>
      </c>
      <c r="B41" s="420"/>
      <c r="C41" s="420"/>
      <c r="D41" s="420"/>
      <c r="E41" s="421"/>
      <c r="F41" s="373" t="s">
        <v>18</v>
      </c>
      <c r="G41" s="373"/>
      <c r="H41" s="373"/>
      <c r="I41" s="373"/>
      <c r="J41" s="379"/>
      <c r="K41" s="373" t="s">
        <v>19</v>
      </c>
      <c r="L41" s="373"/>
      <c r="M41" s="373"/>
      <c r="N41" s="390"/>
    </row>
    <row r="42" spans="1:14" ht="30" customHeight="1" thickBot="1">
      <c r="A42" s="422" t="s">
        <v>79</v>
      </c>
      <c r="B42" s="423"/>
      <c r="C42" s="423"/>
      <c r="D42" s="423"/>
      <c r="E42" s="424"/>
      <c r="F42" s="19" t="s">
        <v>1</v>
      </c>
      <c r="G42" s="19" t="s">
        <v>2</v>
      </c>
      <c r="H42" s="19" t="s">
        <v>3</v>
      </c>
      <c r="I42" s="170" t="s">
        <v>4</v>
      </c>
      <c r="J42" s="380"/>
      <c r="K42" s="19" t="s">
        <v>1</v>
      </c>
      <c r="L42" s="19" t="s">
        <v>2</v>
      </c>
      <c r="M42" s="19" t="s">
        <v>3</v>
      </c>
      <c r="N42" s="146" t="s">
        <v>4</v>
      </c>
    </row>
    <row r="43" spans="1:14" ht="30" customHeight="1">
      <c r="A43" s="42">
        <f aca="true" t="shared" si="18" ref="A43:A48">IF(A10="","",A10)</f>
      </c>
      <c r="B43" s="166" t="s">
        <v>1</v>
      </c>
      <c r="C43" s="167" t="s">
        <v>9</v>
      </c>
      <c r="D43" s="168" t="s">
        <v>2</v>
      </c>
      <c r="E43" s="151">
        <f aca="true" t="shared" si="19" ref="E43:E48">IF(E10="","",E10)</f>
      </c>
      <c r="F43" s="148">
        <f aca="true" t="shared" si="20" ref="F43:F48">IF(OR(AND($A43&lt;&gt;"",$B43="A"),AND($D43="A",$E43&lt;&gt;"")),K10,"")</f>
      </c>
      <c r="G43" s="34">
        <f aca="true" t="shared" si="21" ref="G43:G48">IF(OR(AND($A43&lt;&gt;"",$B43="B"),AND($D43="B",$E43&lt;&gt;"")),L10,"")</f>
      </c>
      <c r="H43" s="34">
        <f aca="true" t="shared" si="22" ref="H43:H48">IF(OR(AND($A43&lt;&gt;"",$B43="C"),AND($D43="C",$E43&lt;&gt;"")),M10,"")</f>
      </c>
      <c r="I43" s="171">
        <f aca="true" t="shared" si="23" ref="I43:I48">IF(OR(AND($A43&lt;&gt;"",$B43="D"),AND($D43="D",$E43&lt;&gt;"")),N10,"")</f>
      </c>
      <c r="J43" s="380"/>
      <c r="K43" s="174">
        <f aca="true" t="shared" si="24" ref="K43:K48">IF(F43&lt;&gt;"",F43*IF($B43="A",$A43/100,1)*IF($D43="A",$E43/100,1),"")</f>
      </c>
      <c r="L43" s="35">
        <f aca="true" t="shared" si="25" ref="L43:L48">IF(G43&lt;&gt;"",G43*IF($B43="B",$A43/100,1)*IF($D43="B",$E43/100,1),"")</f>
      </c>
      <c r="M43" s="35">
        <f aca="true" t="shared" si="26" ref="M43:M48">IF(H43&lt;&gt;"",H43*IF($B43="C",$A43/100,1)*IF($D43="C",$E43/100,1),"")</f>
      </c>
      <c r="N43" s="36">
        <f aca="true" t="shared" si="27" ref="N43:N48">IF(I43&lt;&gt;"",I43*IF($B43="D",$A43/100,1)*IF($D43="D",$E43/100,1),"")</f>
      </c>
    </row>
    <row r="44" spans="1:14" ht="30" customHeight="1">
      <c r="A44" s="37">
        <f t="shared" si="18"/>
      </c>
      <c r="B44" s="155" t="s">
        <v>4</v>
      </c>
      <c r="C44" s="156" t="s">
        <v>9</v>
      </c>
      <c r="D44" s="157" t="s">
        <v>3</v>
      </c>
      <c r="E44" s="152">
        <f t="shared" si="19"/>
      </c>
      <c r="F44" s="149">
        <f t="shared" si="20"/>
      </c>
      <c r="G44" s="38">
        <f t="shared" si="21"/>
      </c>
      <c r="H44" s="38">
        <f t="shared" si="22"/>
      </c>
      <c r="I44" s="172">
        <f t="shared" si="23"/>
      </c>
      <c r="J44" s="380"/>
      <c r="K44" s="28">
        <f t="shared" si="24"/>
      </c>
      <c r="L44" s="39">
        <f t="shared" si="25"/>
      </c>
      <c r="M44" s="39">
        <f t="shared" si="26"/>
      </c>
      <c r="N44" s="40">
        <f t="shared" si="27"/>
      </c>
    </row>
    <row r="45" spans="1:14" ht="30" customHeight="1">
      <c r="A45" s="37">
        <f t="shared" si="18"/>
        <v>25</v>
      </c>
      <c r="B45" s="132" t="s">
        <v>2</v>
      </c>
      <c r="C45" s="147" t="s">
        <v>9</v>
      </c>
      <c r="D45" s="133" t="s">
        <v>3</v>
      </c>
      <c r="E45" s="152">
        <f t="shared" si="19"/>
      </c>
      <c r="F45" s="149">
        <f t="shared" si="20"/>
      </c>
      <c r="G45" s="38">
        <f t="shared" si="21"/>
        <v>6</v>
      </c>
      <c r="H45" s="38">
        <f t="shared" si="22"/>
      </c>
      <c r="I45" s="172">
        <f t="shared" si="23"/>
      </c>
      <c r="J45" s="380"/>
      <c r="K45" s="28">
        <f t="shared" si="24"/>
      </c>
      <c r="L45" s="39">
        <f t="shared" si="25"/>
        <v>1.5</v>
      </c>
      <c r="M45" s="39">
        <f t="shared" si="26"/>
      </c>
      <c r="N45" s="40">
        <f t="shared" si="27"/>
      </c>
    </row>
    <row r="46" spans="1:14" ht="30" customHeight="1">
      <c r="A46" s="37">
        <f t="shared" si="18"/>
      </c>
      <c r="B46" s="132" t="s">
        <v>1</v>
      </c>
      <c r="C46" s="147" t="s">
        <v>9</v>
      </c>
      <c r="D46" s="133" t="s">
        <v>4</v>
      </c>
      <c r="E46" s="152">
        <f t="shared" si="19"/>
      </c>
      <c r="F46" s="149">
        <f t="shared" si="20"/>
      </c>
      <c r="G46" s="38">
        <f t="shared" si="21"/>
      </c>
      <c r="H46" s="38">
        <f t="shared" si="22"/>
      </c>
      <c r="I46" s="172">
        <f t="shared" si="23"/>
      </c>
      <c r="J46" s="380"/>
      <c r="K46" s="28">
        <f t="shared" si="24"/>
      </c>
      <c r="L46" s="39">
        <f t="shared" si="25"/>
      </c>
      <c r="M46" s="39">
        <f t="shared" si="26"/>
      </c>
      <c r="N46" s="40">
        <f t="shared" si="27"/>
      </c>
    </row>
    <row r="47" spans="1:14" ht="30" customHeight="1">
      <c r="A47" s="37">
        <f t="shared" si="18"/>
        <v>25</v>
      </c>
      <c r="B47" s="132" t="s">
        <v>4</v>
      </c>
      <c r="C47" s="147" t="s">
        <v>9</v>
      </c>
      <c r="D47" s="133" t="s">
        <v>2</v>
      </c>
      <c r="E47" s="152">
        <f t="shared" si="19"/>
      </c>
      <c r="F47" s="149">
        <f t="shared" si="20"/>
      </c>
      <c r="G47" s="38">
        <f t="shared" si="21"/>
      </c>
      <c r="H47" s="38">
        <f t="shared" si="22"/>
      </c>
      <c r="I47" s="172">
        <f t="shared" si="23"/>
        <v>6</v>
      </c>
      <c r="J47" s="380"/>
      <c r="K47" s="28">
        <f t="shared" si="24"/>
      </c>
      <c r="L47" s="39">
        <f t="shared" si="25"/>
      </c>
      <c r="M47" s="39">
        <f t="shared" si="26"/>
      </c>
      <c r="N47" s="40">
        <f t="shared" si="27"/>
        <v>1.5</v>
      </c>
    </row>
    <row r="48" spans="1:14" ht="30" customHeight="1" thickBot="1">
      <c r="A48" s="46">
        <f t="shared" si="18"/>
        <v>50</v>
      </c>
      <c r="B48" s="135" t="s">
        <v>3</v>
      </c>
      <c r="C48" s="153" t="s">
        <v>9</v>
      </c>
      <c r="D48" s="136" t="s">
        <v>1</v>
      </c>
      <c r="E48" s="154">
        <f t="shared" si="19"/>
        <v>25</v>
      </c>
      <c r="F48" s="150">
        <f t="shared" si="20"/>
        <v>2</v>
      </c>
      <c r="G48" s="41">
        <f t="shared" si="21"/>
      </c>
      <c r="H48" s="41">
        <f t="shared" si="22"/>
        <v>6</v>
      </c>
      <c r="I48" s="173">
        <f t="shared" si="23"/>
      </c>
      <c r="J48" s="381"/>
      <c r="K48" s="175">
        <f t="shared" si="24"/>
        <v>0.5</v>
      </c>
      <c r="L48" s="31">
        <f t="shared" si="25"/>
      </c>
      <c r="M48" s="31">
        <f t="shared" si="26"/>
        <v>3</v>
      </c>
      <c r="N48" s="32">
        <f t="shared" si="27"/>
      </c>
    </row>
    <row r="49" spans="1:14" ht="30" customHeight="1" thickBot="1">
      <c r="A49" s="368" t="str">
        <f>IF(A19="","",A19)</f>
        <v>Westminster Waltz</v>
      </c>
      <c r="B49" s="376"/>
      <c r="C49" s="376"/>
      <c r="D49" s="376"/>
      <c r="E49" s="376"/>
      <c r="F49" s="377"/>
      <c r="G49" s="377"/>
      <c r="H49" s="377"/>
      <c r="I49" s="377"/>
      <c r="J49" s="377"/>
      <c r="K49" s="377"/>
      <c r="L49" s="377"/>
      <c r="M49" s="377"/>
      <c r="N49" s="378"/>
    </row>
    <row r="50" spans="1:14" ht="30" customHeight="1">
      <c r="A50" s="33">
        <f aca="true" t="shared" si="28" ref="A50:A55">IF(A21="","",A21)</f>
      </c>
      <c r="B50" s="181" t="s">
        <v>1</v>
      </c>
      <c r="C50" s="182" t="s">
        <v>9</v>
      </c>
      <c r="D50" s="183" t="s">
        <v>2</v>
      </c>
      <c r="E50" s="184">
        <f aca="true" t="shared" si="29" ref="E50:E55">IF(E21="","",E21)</f>
        <v>50</v>
      </c>
      <c r="F50" s="179">
        <f aca="true" t="shared" si="30" ref="F50:F55">IF(OR(AND($A50&lt;&gt;"",$B50="A"),AND($D50="A",$E50&lt;&gt;"")),K21,"")</f>
      </c>
      <c r="G50" s="43">
        <f aca="true" t="shared" si="31" ref="G50:G55">IF(OR(AND($A50&lt;&gt;"",$B50="B"),AND($D50="B",$E50&lt;&gt;"")),L21,"")</f>
        <v>6</v>
      </c>
      <c r="H50" s="43">
        <f aca="true" t="shared" si="32" ref="H50:H55">IF(OR(AND($A50&lt;&gt;"",$B50="C"),AND($D50="C",$E50&lt;&gt;"")),M21,"")</f>
      </c>
      <c r="I50" s="176">
        <f aca="true" t="shared" si="33" ref="I50:I55">IF(OR(AND($A50&lt;&gt;"",$B50="D"),AND($D50="D",$E50&lt;&gt;"")),N21,"")</f>
      </c>
      <c r="J50" s="372"/>
      <c r="K50" s="178">
        <f aca="true" t="shared" si="34" ref="K50:K55">IF(F50&lt;&gt;"",F50*IF($B50="A",$A50/100,1)*IF($D50="A",$E50/100,1),"")</f>
      </c>
      <c r="L50" s="44">
        <f aca="true" t="shared" si="35" ref="L50:L55">IF(G50&lt;&gt;"",G50*IF($B50="B",$A50/100,1)*IF($D50="B",$E50/100,1),"")</f>
        <v>3</v>
      </c>
      <c r="M50" s="44">
        <f aca="true" t="shared" si="36" ref="M50:M55">IF(H50&lt;&gt;"",H50*IF($B50="C",$A50/100,1)*IF($D50="C",$E50/100,1),"")</f>
      </c>
      <c r="N50" s="45">
        <f aca="true" t="shared" si="37" ref="N50:N55">IF(I50&lt;&gt;"",I50*IF($B50="D",$A50/100,1)*IF($D50="D",$E50/100,1),"")</f>
      </c>
    </row>
    <row r="51" spans="1:14" ht="30" customHeight="1">
      <c r="A51" s="37">
        <f t="shared" si="28"/>
      </c>
      <c r="B51" s="155" t="s">
        <v>4</v>
      </c>
      <c r="C51" s="156" t="s">
        <v>9</v>
      </c>
      <c r="D51" s="157" t="s">
        <v>3</v>
      </c>
      <c r="E51" s="152">
        <f t="shared" si="29"/>
      </c>
      <c r="F51" s="149">
        <f t="shared" si="30"/>
      </c>
      <c r="G51" s="38">
        <f t="shared" si="31"/>
      </c>
      <c r="H51" s="38">
        <f t="shared" si="32"/>
      </c>
      <c r="I51" s="172">
        <f t="shared" si="33"/>
      </c>
      <c r="J51" s="382"/>
      <c r="K51" s="28">
        <f t="shared" si="34"/>
      </c>
      <c r="L51" s="39">
        <f t="shared" si="35"/>
      </c>
      <c r="M51" s="39">
        <f t="shared" si="36"/>
      </c>
      <c r="N51" s="40">
        <f t="shared" si="37"/>
      </c>
    </row>
    <row r="52" spans="1:14" ht="30" customHeight="1">
      <c r="A52" s="37">
        <f t="shared" si="28"/>
        <v>25</v>
      </c>
      <c r="B52" s="132" t="s">
        <v>2</v>
      </c>
      <c r="C52" s="147" t="s">
        <v>9</v>
      </c>
      <c r="D52" s="133" t="s">
        <v>3</v>
      </c>
      <c r="E52" s="152">
        <f t="shared" si="29"/>
        <v>50</v>
      </c>
      <c r="F52" s="149">
        <f t="shared" si="30"/>
      </c>
      <c r="G52" s="38">
        <f t="shared" si="31"/>
        <v>2</v>
      </c>
      <c r="H52" s="38">
        <f t="shared" si="32"/>
        <v>6</v>
      </c>
      <c r="I52" s="172">
        <f t="shared" si="33"/>
      </c>
      <c r="J52" s="382"/>
      <c r="K52" s="28">
        <f t="shared" si="34"/>
      </c>
      <c r="L52" s="39">
        <f t="shared" si="35"/>
        <v>0.5</v>
      </c>
      <c r="M52" s="39">
        <f t="shared" si="36"/>
        <v>3</v>
      </c>
      <c r="N52" s="40">
        <f t="shared" si="37"/>
      </c>
    </row>
    <row r="53" spans="1:14" ht="30" customHeight="1">
      <c r="A53" s="37">
        <f t="shared" si="28"/>
        <v>50</v>
      </c>
      <c r="B53" s="132" t="s">
        <v>1</v>
      </c>
      <c r="C53" s="147" t="s">
        <v>9</v>
      </c>
      <c r="D53" s="133" t="s">
        <v>4</v>
      </c>
      <c r="E53" s="152">
        <f t="shared" si="29"/>
        <v>50</v>
      </c>
      <c r="F53" s="149">
        <f t="shared" si="30"/>
        <v>2</v>
      </c>
      <c r="G53" s="38">
        <f t="shared" si="31"/>
      </c>
      <c r="H53" s="38">
        <f t="shared" si="32"/>
      </c>
      <c r="I53" s="172">
        <f t="shared" si="33"/>
        <v>6</v>
      </c>
      <c r="J53" s="382"/>
      <c r="K53" s="28">
        <f t="shared" si="34"/>
        <v>1</v>
      </c>
      <c r="L53" s="39">
        <f t="shared" si="35"/>
      </c>
      <c r="M53" s="39">
        <f t="shared" si="36"/>
      </c>
      <c r="N53" s="40">
        <f t="shared" si="37"/>
        <v>3</v>
      </c>
    </row>
    <row r="54" spans="1:14" ht="30" customHeight="1">
      <c r="A54" s="37">
        <f t="shared" si="28"/>
        <v>50</v>
      </c>
      <c r="B54" s="132" t="s">
        <v>4</v>
      </c>
      <c r="C54" s="147" t="s">
        <v>9</v>
      </c>
      <c r="D54" s="133" t="s">
        <v>2</v>
      </c>
      <c r="E54" s="152">
        <f t="shared" si="29"/>
        <v>50</v>
      </c>
      <c r="F54" s="149">
        <f t="shared" si="30"/>
      </c>
      <c r="G54" s="38">
        <f t="shared" si="31"/>
        <v>2</v>
      </c>
      <c r="H54" s="38">
        <f t="shared" si="32"/>
      </c>
      <c r="I54" s="172">
        <f t="shared" si="33"/>
        <v>6</v>
      </c>
      <c r="J54" s="382"/>
      <c r="K54" s="28">
        <f t="shared" si="34"/>
      </c>
      <c r="L54" s="39">
        <f t="shared" si="35"/>
        <v>1</v>
      </c>
      <c r="M54" s="39">
        <f t="shared" si="36"/>
      </c>
      <c r="N54" s="40">
        <f t="shared" si="37"/>
        <v>3</v>
      </c>
    </row>
    <row r="55" spans="1:14" ht="30" customHeight="1" thickBot="1">
      <c r="A55" s="46">
        <f t="shared" si="28"/>
        <v>50</v>
      </c>
      <c r="B55" s="135" t="s">
        <v>3</v>
      </c>
      <c r="C55" s="153" t="s">
        <v>9</v>
      </c>
      <c r="D55" s="136" t="s">
        <v>1</v>
      </c>
      <c r="E55" s="154">
        <f t="shared" si="29"/>
        <v>50</v>
      </c>
      <c r="F55" s="180">
        <f t="shared" si="30"/>
        <v>2</v>
      </c>
      <c r="G55" s="47">
        <f t="shared" si="31"/>
      </c>
      <c r="H55" s="47">
        <f t="shared" si="32"/>
        <v>6</v>
      </c>
      <c r="I55" s="177">
        <f t="shared" si="33"/>
      </c>
      <c r="J55" s="383"/>
      <c r="K55" s="175">
        <f t="shared" si="34"/>
        <v>1</v>
      </c>
      <c r="L55" s="31">
        <f t="shared" si="35"/>
      </c>
      <c r="M55" s="31">
        <f t="shared" si="36"/>
        <v>3</v>
      </c>
      <c r="N55" s="32">
        <f t="shared" si="37"/>
      </c>
    </row>
    <row r="56" spans="1:14" ht="30" customHeight="1" thickBot="1">
      <c r="A56" s="375" t="s">
        <v>16</v>
      </c>
      <c r="B56" s="375"/>
      <c r="C56" s="375"/>
      <c r="D56" s="375"/>
      <c r="E56" s="375"/>
      <c r="F56" s="375"/>
      <c r="G56" s="375"/>
      <c r="H56" s="375"/>
      <c r="I56" s="375"/>
      <c r="J56" s="362"/>
      <c r="K56" s="48">
        <f>SUM(K43:K55)</f>
        <v>2.5</v>
      </c>
      <c r="L56" s="49">
        <f>SUM(L43:L55)</f>
        <v>6</v>
      </c>
      <c r="M56" s="49">
        <f>SUM(M43:M55)</f>
        <v>9</v>
      </c>
      <c r="N56" s="50">
        <f>SUM(N43:N55)</f>
        <v>7.5</v>
      </c>
    </row>
  </sheetData>
  <sheetProtection password="CAEF" sheet="1" objects="1" scenarios="1" selectLockedCells="1"/>
  <mergeCells count="28"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  <mergeCell ref="A37:J37"/>
    <mergeCell ref="A31:J31"/>
    <mergeCell ref="A33:J33"/>
    <mergeCell ref="A36:J36"/>
    <mergeCell ref="A35:J35"/>
    <mergeCell ref="F19:J19"/>
    <mergeCell ref="A27:J27"/>
    <mergeCell ref="A32:J32"/>
    <mergeCell ref="A34:J34"/>
    <mergeCell ref="K19:N19"/>
    <mergeCell ref="K8:N8"/>
    <mergeCell ref="P19:T19"/>
    <mergeCell ref="A20:E20"/>
    <mergeCell ref="F8:J8"/>
    <mergeCell ref="A8:E8"/>
    <mergeCell ref="A9:E9"/>
    <mergeCell ref="P8:T8"/>
    <mergeCell ref="A16:J16"/>
    <mergeCell ref="A19:E19"/>
  </mergeCells>
  <conditionalFormatting sqref="F10:J15 F21:J26">
    <cfRule type="expression" priority="1" dxfId="6" stopIfTrue="1">
      <formula>AND(NOT(F10=""),NOT(F10=$B10),NOT(F10=$D10),NOT(F10="X"))</formula>
    </cfRule>
  </conditionalFormatting>
  <conditionalFormatting sqref="A21:A26 A10:A15 E10:E15 E21:E26">
    <cfRule type="expression" priority="2" dxfId="6" stopIfTrue="1">
      <formula>AND(NOT(A10=""),NOT(A10=25),NOT(A10=50))</formula>
    </cfRule>
  </conditionalFormatting>
  <conditionalFormatting sqref="K33:N33">
    <cfRule type="expression" priority="3" dxfId="6" stopIfTrue="1">
      <formula>AND(K33&lt;&gt;"",OR(K33&lt;2,K33&gt;18))</formula>
    </cfRule>
  </conditionalFormatting>
  <conditionalFormatting sqref="K37:N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&amp;L&amp;"Arial,Bold"&amp;26RIDL Final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8">
      <selection activeCell="D24" sqref="D24"/>
    </sheetView>
  </sheetViews>
  <sheetFormatPr defaultColWidth="9.140625" defaultRowHeight="12.75"/>
  <cols>
    <col min="1" max="1" width="18.7109375" style="54" customWidth="1"/>
    <col min="2" max="5" width="20.7109375" style="54" customWidth="1"/>
    <col min="6" max="16384" width="9.140625" style="53" customWidth="1"/>
  </cols>
  <sheetData>
    <row r="1" spans="1:5" ht="34.5" customHeight="1">
      <c r="A1" s="429" t="str">
        <f>CONCATENATE(Master!$B$3," - ",Master!$B$4)</f>
        <v>Streatham - 18th October 2014</v>
      </c>
      <c r="B1" s="430"/>
      <c r="C1" s="430"/>
      <c r="D1" s="430"/>
      <c r="E1" s="430"/>
    </row>
    <row r="2" ht="12.75" customHeight="1"/>
    <row r="3" spans="1:5" ht="34.5" customHeight="1">
      <c r="A3" s="429" t="s">
        <v>13</v>
      </c>
      <c r="B3" s="430"/>
      <c r="C3" s="430"/>
      <c r="D3" s="430"/>
      <c r="E3" s="430"/>
    </row>
    <row r="4" ht="12.75" customHeight="1" thickBot="1"/>
    <row r="5" spans="1:5" ht="30" customHeight="1">
      <c r="A5" s="55" t="s">
        <v>0</v>
      </c>
      <c r="B5" s="56" t="s">
        <v>1</v>
      </c>
      <c r="C5" s="56" t="s">
        <v>2</v>
      </c>
      <c r="D5" s="56" t="s">
        <v>3</v>
      </c>
      <c r="E5" s="57" t="s">
        <v>4</v>
      </c>
    </row>
    <row r="6" spans="1:5" ht="30" customHeight="1" thickBot="1">
      <c r="A6" s="58" t="s">
        <v>5</v>
      </c>
      <c r="B6" s="68" t="str">
        <f>VLOOKUP(B5,Master!A26:B29,2,FALSE)</f>
        <v>South West</v>
      </c>
      <c r="C6" s="68" t="str">
        <f>VLOOKUP(C5,Master!A26:B29,2,FALSE)</f>
        <v>South East</v>
      </c>
      <c r="D6" s="68" t="str">
        <f>VLOOKUP(D5,Master!A26:B29,2,FALSE)</f>
        <v>North</v>
      </c>
      <c r="E6" s="68" t="str">
        <f>VLOOKUP(E5,Master!A26:B29,2,FALSE)</f>
        <v>South Central</v>
      </c>
    </row>
    <row r="7" spans="1:5" s="54" customFormat="1" ht="30" customHeight="1" thickBot="1">
      <c r="A7" s="59"/>
      <c r="B7" s="60"/>
      <c r="C7" s="60"/>
      <c r="D7" s="60"/>
      <c r="E7" s="60"/>
    </row>
    <row r="8" spans="1:5" s="54" customFormat="1" ht="30" customHeight="1">
      <c r="A8" s="431" t="s">
        <v>67</v>
      </c>
      <c r="B8" s="426"/>
      <c r="C8" s="426"/>
      <c r="D8" s="426"/>
      <c r="E8" s="427"/>
    </row>
    <row r="9" spans="1:5" s="54" customFormat="1" ht="30" customHeight="1">
      <c r="A9" s="63" t="s">
        <v>24</v>
      </c>
      <c r="B9" s="66">
        <f>IF(Jnr!K36="","",Jnr!K36)</f>
        <v>36</v>
      </c>
      <c r="C9" s="66">
        <f>IF(Jnr!L36="","",Jnr!L36)</f>
        <v>32</v>
      </c>
      <c r="D9" s="66">
        <f>IF(Jnr!M36="","",Jnr!M36)</f>
        <v>34.5</v>
      </c>
      <c r="E9" s="67">
        <f>IF(Jnr!N36="","",Jnr!N36)</f>
        <v>33.5</v>
      </c>
    </row>
    <row r="10" spans="1:5" s="54" customFormat="1" ht="30" customHeight="1" thickBot="1">
      <c r="A10" s="61" t="s">
        <v>25</v>
      </c>
      <c r="B10" s="64">
        <f>IF(Jnr!K37="","",Jnr!K37)</f>
        <v>1</v>
      </c>
      <c r="C10" s="64">
        <f>IF(Jnr!L37="","",Jnr!L37)</f>
        <v>4</v>
      </c>
      <c r="D10" s="64">
        <f>IF(Jnr!M37="","",Jnr!M37)</f>
        <v>2</v>
      </c>
      <c r="E10" s="65">
        <f>IF(Jnr!N37="","",Jnr!N37)</f>
        <v>3</v>
      </c>
    </row>
    <row r="11" s="54" customFormat="1" ht="30" customHeight="1" thickBot="1"/>
    <row r="12" spans="1:5" s="54" customFormat="1" ht="30" customHeight="1">
      <c r="A12" s="432" t="s">
        <v>68</v>
      </c>
      <c r="B12" s="426"/>
      <c r="C12" s="426"/>
      <c r="D12" s="426"/>
      <c r="E12" s="427"/>
    </row>
    <row r="13" spans="1:5" s="54" customFormat="1" ht="30" customHeight="1">
      <c r="A13" s="63" t="s">
        <v>24</v>
      </c>
      <c r="B13" s="66">
        <f>IF(Inter!K36="","",Inter!K36)</f>
        <v>32</v>
      </c>
      <c r="C13" s="66">
        <f>IF(Inter!L36="","",Inter!L36)</f>
        <v>34.5</v>
      </c>
      <c r="D13" s="66">
        <f>IF(Inter!M36="","",Inter!M36)</f>
        <v>39</v>
      </c>
      <c r="E13" s="67">
        <f>IF(Inter!N36="","",Inter!N36)</f>
        <v>28</v>
      </c>
    </row>
    <row r="14" spans="1:5" s="54" customFormat="1" ht="30" customHeight="1" thickBot="1">
      <c r="A14" s="61" t="s">
        <v>25</v>
      </c>
      <c r="B14" s="64">
        <f>IF(Inter!K37="","",Inter!K37)</f>
        <v>3</v>
      </c>
      <c r="C14" s="64">
        <f>IF(Inter!L37="","",Inter!L37)</f>
        <v>2</v>
      </c>
      <c r="D14" s="64">
        <f>IF(Inter!M37="","",Inter!M37)</f>
        <v>1</v>
      </c>
      <c r="E14" s="65">
        <f>IF(Inter!N37="","",Inter!N37)</f>
        <v>4</v>
      </c>
    </row>
    <row r="15" s="54" customFormat="1" ht="30" customHeight="1" thickBot="1"/>
    <row r="16" spans="1:5" s="54" customFormat="1" ht="30" customHeight="1">
      <c r="A16" s="425" t="s">
        <v>69</v>
      </c>
      <c r="B16" s="426"/>
      <c r="C16" s="426"/>
      <c r="D16" s="426"/>
      <c r="E16" s="427"/>
    </row>
    <row r="17" spans="1:5" s="54" customFormat="1" ht="30" customHeight="1">
      <c r="A17" s="63" t="s">
        <v>24</v>
      </c>
      <c r="B17" s="66">
        <f>IF(Snr!K36="","",Snr!K36)</f>
        <v>20.5</v>
      </c>
      <c r="C17" s="66">
        <f>IF(Snr!L36="","",Snr!L36)</f>
        <v>24</v>
      </c>
      <c r="D17" s="66">
        <f>IF(Snr!M36="","",Snr!M36)</f>
        <v>25</v>
      </c>
      <c r="E17" s="67">
        <f>IF(Snr!N36="","",Snr!N36)</f>
        <v>27.5</v>
      </c>
    </row>
    <row r="18" spans="1:5" s="54" customFormat="1" ht="30" customHeight="1" thickBot="1">
      <c r="A18" s="61" t="s">
        <v>25</v>
      </c>
      <c r="B18" s="64">
        <f>IF(Snr!K37="","",Snr!K37)</f>
        <v>4</v>
      </c>
      <c r="C18" s="64">
        <f>IF(Snr!L37="","",Snr!L37)</f>
        <v>3</v>
      </c>
      <c r="D18" s="64">
        <f>IF(Snr!M37="","",Snr!M37)</f>
        <v>2</v>
      </c>
      <c r="E18" s="65">
        <f>IF(Snr!N37="","",Snr!N37)</f>
        <v>1</v>
      </c>
    </row>
    <row r="19" s="54" customFormat="1" ht="30" customHeight="1" thickBot="1"/>
    <row r="20" spans="1:5" s="54" customFormat="1" ht="30" customHeight="1">
      <c r="A20" s="428" t="s">
        <v>26</v>
      </c>
      <c r="B20" s="426"/>
      <c r="C20" s="426"/>
      <c r="D20" s="426"/>
      <c r="E20" s="427"/>
    </row>
    <row r="21" spans="1:5" s="54" customFormat="1" ht="30" customHeight="1">
      <c r="A21" s="63" t="s">
        <v>24</v>
      </c>
      <c r="B21" s="66">
        <f>B9+B13+B17</f>
        <v>88.5</v>
      </c>
      <c r="C21" s="66">
        <f>C9+C13+C17</f>
        <v>90.5</v>
      </c>
      <c r="D21" s="66">
        <f>D9+D13+D17</f>
        <v>98.5</v>
      </c>
      <c r="E21" s="67">
        <f>E9+E13+E17</f>
        <v>89</v>
      </c>
    </row>
    <row r="22" spans="1:5" s="54" customFormat="1" ht="30" customHeight="1" thickBot="1">
      <c r="A22" s="61" t="s">
        <v>25</v>
      </c>
      <c r="B22" s="64">
        <f>IF(SUM($B21:$E21)&gt;0,RANK(B21,$B21:$E21,0),"")</f>
        <v>4</v>
      </c>
      <c r="C22" s="64">
        <f>IF(SUM($B21:$E21)&gt;0,RANK(C21,$B21:$E21,0),"")</f>
        <v>2</v>
      </c>
      <c r="D22" s="64">
        <f>IF(SUM($B21:$E21)&gt;0,RANK(D21,$B21:$E21,0),"")</f>
        <v>1</v>
      </c>
      <c r="E22" s="65">
        <f>IF(SUM($B21:$E21)&gt;0,RANK(E21,$B21:$E21,0),"")</f>
        <v>3</v>
      </c>
    </row>
    <row r="24" ht="20.25">
      <c r="B24" s="62"/>
    </row>
  </sheetData>
  <sheetProtection/>
  <mergeCells count="6">
    <mergeCell ref="A16:E16"/>
    <mergeCell ref="A20:E20"/>
    <mergeCell ref="A1:E1"/>
    <mergeCell ref="A3:E3"/>
    <mergeCell ref="A8:E8"/>
    <mergeCell ref="A12:E12"/>
  </mergeCells>
  <conditionalFormatting sqref="B10:E10 B14:E14 B18:E18 B22:E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1.1811023622047245" bottom="0.7874015748031497" header="0.7874015748031497" footer="0"/>
  <pageSetup fitToHeight="1" fitToWidth="1" horizontalDpi="600" verticalDpi="600" orientation="portrait" paperSize="9" scale="85" r:id="rId1"/>
  <headerFooter alignWithMargins="0">
    <oddHeader>&amp;C&amp;"Arial,Bold"&amp;22RIDL National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Williams &amp; Barrie Haigh</dc:creator>
  <cp:keywords/>
  <dc:description/>
  <cp:lastModifiedBy>Barrie</cp:lastModifiedBy>
  <cp:lastPrinted>2014-10-19T16:12:07Z</cp:lastPrinted>
  <dcterms:created xsi:type="dcterms:W3CDTF">2011-07-18T20:52:46Z</dcterms:created>
  <dcterms:modified xsi:type="dcterms:W3CDTF">2014-10-19T16:12:18Z</dcterms:modified>
  <cp:category/>
  <cp:version/>
  <cp:contentType/>
  <cp:contentStatus/>
</cp:coreProperties>
</file>